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_xlnm.Print_Area" localSheetId="0">'Stavební rozpočet'!$A$1:$L$54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<sst xmlns="http://schemas.openxmlformats.org/spreadsheetml/2006/main" count="547" uniqueCount="248">
  <si>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</si>
  <si>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</si>
  <si>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</si>
  <si>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</si>
  <si>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</si>
  <si>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</si>
  <si>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</si>
  <si>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</si>
  <si>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</si>
  <si>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</si>
  <si>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</si>
  <si>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</si>
  <si>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</si>
  <si>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</si>
  <si>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</si>
  <si>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</si>
  <si>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</si>
  <si>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</si>
  <si>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</si>
  <si>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</si>
  <si>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</si>
  <si>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</si>
  <si>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</si>
  <si>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</si>
  <si>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</si>
  <si>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</si>
  <si>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</si>
  <si>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</si>
  <si>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</si>
  <si>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</si>
  <si>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</si>
  <si>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</si>
  <si>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</si>
  <si>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</si>
  <si>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</si>
  <si>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</si>
  <si>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Poznámka:</t>
  </si>
  <si>
    <t>Kód</t>
  </si>
  <si>
    <t>61</t>
  </si>
  <si>
    <t>612471413R00</t>
  </si>
  <si>
    <t>612403399RT2</t>
  </si>
  <si>
    <t>62</t>
  </si>
  <si>
    <t>620991121R00</t>
  </si>
  <si>
    <t>722</t>
  </si>
  <si>
    <t>722280106R00</t>
  </si>
  <si>
    <t>722170807R00</t>
  </si>
  <si>
    <t>722181214RU1</t>
  </si>
  <si>
    <t>722290237R00</t>
  </si>
  <si>
    <t>722172919R00</t>
  </si>
  <si>
    <t>722172413R00</t>
  </si>
  <si>
    <t>722172411R00</t>
  </si>
  <si>
    <t>722172412R00</t>
  </si>
  <si>
    <t>734</t>
  </si>
  <si>
    <t>734235124R00</t>
  </si>
  <si>
    <t>781</t>
  </si>
  <si>
    <t>781950020RAA</t>
  </si>
  <si>
    <t>784</t>
  </si>
  <si>
    <t>784450075RA0</t>
  </si>
  <si>
    <t>784121101R00</t>
  </si>
  <si>
    <t>90</t>
  </si>
  <si>
    <t>910      R00</t>
  </si>
  <si>
    <t>95</t>
  </si>
  <si>
    <t>952901411R00</t>
  </si>
  <si>
    <t>97</t>
  </si>
  <si>
    <t>974031167R00</t>
  </si>
  <si>
    <t>974029669R00</t>
  </si>
  <si>
    <t>979097012R00</t>
  </si>
  <si>
    <t>974031169R00</t>
  </si>
  <si>
    <t>M23</t>
  </si>
  <si>
    <t>230170012R00</t>
  </si>
  <si>
    <t>M46</t>
  </si>
  <si>
    <t>460680024RT1</t>
  </si>
  <si>
    <t>999281148R00</t>
  </si>
  <si>
    <t>S</t>
  </si>
  <si>
    <t>979990107R00</t>
  </si>
  <si>
    <t>979011211R00</t>
  </si>
  <si>
    <t>979087213R00</t>
  </si>
  <si>
    <t>979081111RT2</t>
  </si>
  <si>
    <t>979084213R00</t>
  </si>
  <si>
    <t>xxxxxx</t>
  </si>
  <si>
    <t>Zkrácený popis</t>
  </si>
  <si>
    <t>Rozměry</t>
  </si>
  <si>
    <t>Úprava povrchů vnitřní</t>
  </si>
  <si>
    <t>Úprava vnitřních stěn aktivovaným štukem s přísad.</t>
  </si>
  <si>
    <t>Hrubá výplň rýh ve stěnách maltou (drážky vč. prostupů klenbou a zdí)</t>
  </si>
  <si>
    <t>Úprava povrchů vnější</t>
  </si>
  <si>
    <t>Zakrývání podlah vč. úklidu</t>
  </si>
  <si>
    <t>Vnitřní vodovod</t>
  </si>
  <si>
    <t>Tlaková zkouška vodovodního potrubí do DN 32</t>
  </si>
  <si>
    <t>Demontáž rozvodů vody z plastů do D 63</t>
  </si>
  <si>
    <t>Izolace návleková  tl. stěny 13 mm</t>
  </si>
  <si>
    <t>Proplach a dezinfekce vodovod.potrubí do DN 50</t>
  </si>
  <si>
    <t>Propojení plastového potrubí do DN 50</t>
  </si>
  <si>
    <t>Potrubí z PPR, D 32 x 4,4 mm</t>
  </si>
  <si>
    <t>Potrubí z PPR, D 20 x 2,8 mm</t>
  </si>
  <si>
    <t>Potrubí z PPR, D 25 x 3,5 mm</t>
  </si>
  <si>
    <t>Armatury</t>
  </si>
  <si>
    <t>Obklady (keramické)</t>
  </si>
  <si>
    <t>Odsekání stávaj. obkladu vnějšího a zřízení nového</t>
  </si>
  <si>
    <t>Malby</t>
  </si>
  <si>
    <t>Malba disperzní, penetrace 1x, malba bílá 2x</t>
  </si>
  <si>
    <t>Penetrace podkladu nátěrem</t>
  </si>
  <si>
    <t>Hodinové zúčtovací sazby (HZS)</t>
  </si>
  <si>
    <t>Hzs - predbezne obhlidky skutečného stavu trasy vodov. rozvodu</t>
  </si>
  <si>
    <t>Různé dokončovací konstrukce a práce na pozemních stavbách</t>
  </si>
  <si>
    <t>Vyčištění ostatních objektů</t>
  </si>
  <si>
    <t>Prorážení otvorů a ostatní bourací práce</t>
  </si>
  <si>
    <t>Vysekání rýh ve zdi cihelné 15 x 30 cm</t>
  </si>
  <si>
    <t>Vybourání otvorů cih.klenba pl. 0,25 m2, tl. 45 cm</t>
  </si>
  <si>
    <t>Pronájem kontejneru 7 t</t>
  </si>
  <si>
    <t>Příplat.za dalších 10cm š.rýhy ve zdi hl. do 15 cm</t>
  </si>
  <si>
    <t>Montáže potrubí</t>
  </si>
  <si>
    <t>Zemní práce při montážích</t>
  </si>
  <si>
    <t>Průraz zdivem v cihlové zdi tloušťky 60 cm</t>
  </si>
  <si>
    <t>Přesun hmot pro opravy a údržbu do v. 12 m,nošením (zdivo, malta - výplň drážek a prostupů, nové potrubí)</t>
  </si>
  <si>
    <t>Přesuny sutí</t>
  </si>
  <si>
    <t>Poplatek za skládku suti - směs betonu,cihel,dřeva, plast</t>
  </si>
  <si>
    <t>Svislá doprava suti a vybour. hmot nošením</t>
  </si>
  <si>
    <t>Nakládání vybour.hmot na dop.prostředky</t>
  </si>
  <si>
    <t>Odvoz suti a vybour. hmot na skládku do 1 km</t>
  </si>
  <si>
    <t>Vodorovná doprava suti</t>
  </si>
  <si>
    <t>Doba výstavby:</t>
  </si>
  <si>
    <t>Začátek výstavby:</t>
  </si>
  <si>
    <t>Konec výstavby:</t>
  </si>
  <si>
    <t>Zpracováno dne:</t>
  </si>
  <si>
    <t>10.07.2019</t>
  </si>
  <si>
    <t> </t>
  </si>
  <si>
    <t>M.j.</t>
  </si>
  <si>
    <t>m2</t>
  </si>
  <si>
    <t>m</t>
  </si>
  <si>
    <t>kus</t>
  </si>
  <si>
    <t>h</t>
  </si>
  <si>
    <t>den</t>
  </si>
  <si>
    <t>t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</si>
  <si>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</si>
  <si>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</si>
  <si>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</si>
  <si>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</si>
  <si>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</si>
  <si>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</si>
  <si>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</si>
  <si>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</si>
  <si>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</si>
  <si>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</si>
  <si>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</si>
  <si>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</si>
  <si>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</si>
  <si>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</si>
  <si>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</si>
  <si>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</si>
  <si>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</si>
  <si>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</si>
  <si>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</si>
  <si>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</si>
  <si>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</si>
  <si>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</si>
  <si>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</si>
  <si>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</si>
  <si>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</si>
  <si>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62_</t>
  </si>
  <si>
    <t>722_</t>
  </si>
  <si>
    <t>734_</t>
  </si>
  <si>
    <t>781_</t>
  </si>
  <si>
    <t>784_</t>
  </si>
  <si>
    <t>90_</t>
  </si>
  <si>
    <t>95_</t>
  </si>
  <si>
    <t>97_</t>
  </si>
  <si>
    <t>M23_</t>
  </si>
  <si>
    <t>M46_</t>
  </si>
  <si>
    <t>S_</t>
  </si>
  <si>
    <t>6_</t>
  </si>
  <si>
    <t>72_</t>
  </si>
  <si>
    <t>73_</t>
  </si>
  <si>
    <t>78_</t>
  </si>
  <si>
    <t>9_</t>
  </si>
  <si>
    <t>_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</si>
  <si>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</si>
  <si>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</si>
  <si>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</si>
  <si>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</si>
  <si>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</si>
  <si>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</si>
  <si>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</si>
  <si>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</si>
  <si>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</si>
  <si>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</si>
  <si>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</si>
  <si>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</si>
  <si>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</si>
  <si>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</si>
  <si>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</si>
  <si>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</si>
  <si>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</si>
  <si>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</si>
  <si>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</si>
  <si>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</si>
  <si>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</si>
  <si>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</si>
  <si>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</si>
  <si>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</si>
  <si>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</si>
  <si>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</si>
  <si>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</si>
  <si>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</si>
  <si>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</si>
  <si>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</si>
  <si>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</si>
  <si>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</si>
  <si>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</si>
  <si>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</si>
  <si>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</si>
  <si>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</si>
  <si>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</si>
  <si>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</si>
  <si>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</si>
  <si>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</si>
  <si>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</si>
  <si>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</si>
  <si>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</si>
  <si>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</si>
  <si>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</si>
  <si>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</si>
  <si>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</si>
  <si>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</si>
  <si>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</si>
  <si>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</si>
  <si>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</si>
  <si>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</si>
  <si>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</si>
  <si>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</si>
  <si>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</si>
  <si>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</si>
  <si>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</si>
  <si>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</si>
  <si>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</si>
  <si>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</si>
  <si>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</si>
  <si>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</si>
  <si>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</si>
  <si>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</si>
  <si>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</si>
  <si>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</si>
  <si>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</si>
  <si>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Kohout kulový,2xvnitřní záv. DN 32-20</t>
  </si>
  <si>
    <t>Zkouška těsnosti potrubí, DN 32-20</t>
  </si>
  <si>
    <t>722172413P00</t>
  </si>
  <si>
    <t>Přesun</t>
  </si>
  <si>
    <t>kpl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</si>
</sst>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0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53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53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10" fillId="34" borderId="53" xfId="0" applyNumberFormat="1" applyFont="1" applyFill="1" applyBorder="1" applyAlignment="1" applyProtection="1">
      <alignment horizontal="left" vertical="center"/>
      <protection/>
    </xf>
    <xf numFmtId="0" fontId="10" fillId="34" borderId="52" xfId="0" applyNumberFormat="1" applyFont="1" applyFill="1" applyBorder="1" applyAlignment="1" applyProtection="1">
      <alignment horizontal="left" vertical="center"/>
      <protection/>
    </xf>
    <xf numFmtId="49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6" xfId="0" applyNumberFormat="1" applyFont="1" applyFill="1" applyBorder="1" applyAlignment="1" applyProtection="1">
      <alignment horizontal="left" vertical="center"/>
      <protection/>
    </xf>
    <xf numFmtId="49" fontId="11" fillId="0" borderId="57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5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62" xfId="0" applyNumberFormat="1" applyFont="1" applyFill="1" applyBorder="1" applyAlignment="1" applyProtection="1">
      <alignment horizontal="left" vertical="center"/>
      <protection/>
    </xf>
    <xf numFmtId="49" fontId="10" fillId="0" borderId="61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62" xfId="0" applyNumberFormat="1" applyFont="1" applyFill="1" applyBorder="1" applyAlignment="1" applyProtection="1">
      <alignment horizontal="left" vertical="center"/>
      <protection/>
    </xf>
    <xf numFmtId="4" fontId="10" fillId="0" borderId="61" xfId="0" applyNumberFormat="1" applyFont="1" applyFill="1" applyBorder="1" applyAlignment="1" applyProtection="1">
      <alignment horizontal="right" vertical="center"/>
      <protection/>
    </xf>
    <xf numFmtId="0" fontId="10" fillId="0" borderId="38" xfId="0" applyNumberFormat="1" applyFont="1" applyFill="1" applyBorder="1" applyAlignment="1" applyProtection="1">
      <alignment horizontal="right" vertical="center"/>
      <protection/>
    </xf>
    <xf numFmtId="0" fontId="10" fillId="0" borderId="62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88.710937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0" width="11.57421875" style="0" customWidth="1"/>
    <col min="21" max="58" width="12.140625" style="0" hidden="1" customWidth="1"/>
  </cols>
  <sheetData>
    <row r="1" spans="1:12" ht="72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2.75">
      <c r="A2" s="74" t="s">
        <v>1</v>
      </c>
      <c r="B2" s="75"/>
      <c r="C2" s="78" t="s">
        <v>79</v>
      </c>
      <c r="D2" s="80" t="s">
        <v>121</v>
      </c>
      <c r="E2" s="75"/>
      <c r="F2" s="80" t="s">
        <v>6</v>
      </c>
      <c r="G2" s="75"/>
      <c r="H2" s="81" t="s">
        <v>135</v>
      </c>
      <c r="I2" s="82">
        <v>0</v>
      </c>
      <c r="J2" s="75"/>
      <c r="K2" s="75"/>
      <c r="L2" s="83"/>
      <c r="M2" s="28"/>
    </row>
    <row r="3" spans="1:13" ht="12.75">
      <c r="A3" s="76"/>
      <c r="B3" s="77"/>
      <c r="C3" s="79"/>
      <c r="D3" s="77"/>
      <c r="E3" s="77"/>
      <c r="F3" s="77"/>
      <c r="G3" s="77"/>
      <c r="H3" s="77"/>
      <c r="I3" s="77"/>
      <c r="J3" s="77"/>
      <c r="K3" s="77"/>
      <c r="L3" s="84"/>
      <c r="M3" s="28"/>
    </row>
    <row r="4" spans="1:13" ht="12.75">
      <c r="A4" s="85" t="s">
        <v>2</v>
      </c>
      <c r="B4" s="77"/>
      <c r="C4" s="86">
        <v>0</v>
      </c>
      <c r="D4" s="87" t="s">
        <v>122</v>
      </c>
      <c r="E4" s="77"/>
      <c r="F4" s="87" t="s">
        <v>125</v>
      </c>
      <c r="G4" s="77"/>
      <c r="H4" s="88" t="s">
        <v>136</v>
      </c>
      <c r="I4" s="86">
        <v>0</v>
      </c>
      <c r="J4" s="77"/>
      <c r="K4" s="77"/>
      <c r="L4" s="84"/>
      <c r="M4" s="28"/>
    </row>
    <row r="5" spans="1:13" ht="12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84"/>
      <c r="M5" s="28"/>
    </row>
    <row r="6" spans="1:13" ht="12.75">
      <c r="A6" s="85" t="s">
        <v>3</v>
      </c>
      <c r="B6" s="77"/>
      <c r="C6" s="86">
        <v>0</v>
      </c>
      <c r="D6" s="87" t="s">
        <v>123</v>
      </c>
      <c r="E6" s="77"/>
      <c r="F6" s="87" t="s">
        <v>126</v>
      </c>
      <c r="G6" s="77"/>
      <c r="H6" s="88" t="s">
        <v>137</v>
      </c>
      <c r="I6" s="86">
        <v>0</v>
      </c>
      <c r="J6" s="77"/>
      <c r="K6" s="77"/>
      <c r="L6" s="84"/>
      <c r="M6" s="28"/>
    </row>
    <row r="7" spans="1:13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84"/>
      <c r="M7" s="28"/>
    </row>
    <row r="8" spans="1:13" ht="12.75">
      <c r="A8" s="85" t="s">
        <v>4</v>
      </c>
      <c r="B8" s="77"/>
      <c r="C8" s="86">
        <v>0</v>
      </c>
      <c r="D8" s="87" t="s">
        <v>124</v>
      </c>
      <c r="E8" s="77"/>
      <c r="F8" s="87" t="s">
        <v>125</v>
      </c>
      <c r="G8" s="77"/>
      <c r="H8" s="88" t="s">
        <v>138</v>
      </c>
      <c r="I8" s="86">
        <v>0</v>
      </c>
      <c r="J8" s="77"/>
      <c r="K8" s="77"/>
      <c r="L8" s="84"/>
      <c r="M8" s="28"/>
    </row>
    <row r="9" spans="1:13" ht="12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1"/>
      <c r="M9" s="28"/>
    </row>
    <row r="10" spans="1:13" ht="12.75">
      <c r="A10" s="1" t="s">
        <v>5</v>
      </c>
      <c r="B10" s="9" t="s">
        <v>37</v>
      </c>
      <c r="C10" s="92" t="s">
        <v>80</v>
      </c>
      <c r="D10" s="93"/>
      <c r="E10" s="94"/>
      <c r="F10" s="9" t="s">
        <v>127</v>
      </c>
      <c r="G10" s="14" t="s">
        <v>134</v>
      </c>
      <c r="H10" s="17" t="s">
        <v>139</v>
      </c>
      <c r="I10" s="95" t="s">
        <v>141</v>
      </c>
      <c r="J10" s="96"/>
      <c r="K10" s="97"/>
      <c r="L10" s="22" t="s">
        <v>146</v>
      </c>
      <c r="M10" s="29"/>
    </row>
    <row r="11" spans="1:58" ht="12.75">
      <c r="A11" s="2" t="s">
        <v>6</v>
      </c>
      <c r="B11" s="10" t="s">
        <v>6</v>
      </c>
      <c r="C11" s="98" t="s">
        <v>81</v>
      </c>
      <c r="D11" s="99"/>
      <c r="E11" s="100"/>
      <c r="F11" s="10" t="s">
        <v>6</v>
      </c>
      <c r="G11" s="10" t="s">
        <v>6</v>
      </c>
      <c r="H11" s="18" t="s">
        <v>140</v>
      </c>
      <c r="I11" s="19" t="s">
        <v>142</v>
      </c>
      <c r="J11" s="20" t="s">
        <v>144</v>
      </c>
      <c r="K11" s="21" t="s">
        <v>145</v>
      </c>
      <c r="L11" s="23" t="s">
        <v>147</v>
      </c>
      <c r="M11" s="29"/>
      <c r="V11" s="26" t="s">
        <v>149</v>
      </c>
      <c r="W11" s="26" t="s">
        <v>150</v>
      </c>
      <c r="X11" s="26" t="s">
        <v>151</v>
      </c>
      <c r="Y11" s="26" t="s">
        <v>152</v>
      </c>
      <c r="Z11" s="26" t="s">
        <v>153</v>
      </c>
      <c r="AA11" s="26" t="s">
        <v>154</v>
      </c>
      <c r="AB11" s="26" t="s">
        <v>155</v>
      </c>
      <c r="AC11" s="26" t="s">
        <v>156</v>
      </c>
      <c r="AD11" s="26" t="s">
        <v>157</v>
      </c>
      <c r="BD11" s="26" t="s">
        <v>176</v>
      </c>
      <c r="BE11" s="26" t="s">
        <v>177</v>
      </c>
      <c r="BF11" s="26" t="s">
        <v>178</v>
      </c>
    </row>
    <row r="12" spans="1:43" ht="12.75">
      <c r="A12" s="3"/>
      <c r="B12" s="11" t="s">
        <v>38</v>
      </c>
      <c r="C12" s="101" t="s">
        <v>82</v>
      </c>
      <c r="D12" s="102"/>
      <c r="E12" s="102"/>
      <c r="F12" s="3" t="s">
        <v>6</v>
      </c>
      <c r="G12" s="3" t="s">
        <v>6</v>
      </c>
      <c r="H12" s="3" t="s">
        <v>6</v>
      </c>
      <c r="I12" s="32">
        <f>SUM(I13:I14)</f>
        <v>0</v>
      </c>
      <c r="J12" s="32">
        <f>SUM(J13:J14)</f>
        <v>0</v>
      </c>
      <c r="K12" s="32">
        <f>SUM(K13:K14)</f>
        <v>0</v>
      </c>
      <c r="L12" s="24"/>
      <c r="AE12" s="26"/>
      <c r="AO12" s="33">
        <f>SUM(AF13:AF14)</f>
        <v>0</v>
      </c>
      <c r="AP12" s="33">
        <f>SUM(AG13:AG14)</f>
        <v>0</v>
      </c>
      <c r="AQ12" s="33">
        <f>SUM(AH13:AH14)</f>
        <v>0</v>
      </c>
    </row>
    <row r="13" spans="1:58" ht="12.75">
      <c r="A13" s="4" t="s">
        <v>7</v>
      </c>
      <c r="B13" s="4" t="s">
        <v>39</v>
      </c>
      <c r="C13" s="103" t="s">
        <v>83</v>
      </c>
      <c r="D13" s="104"/>
      <c r="E13" s="104"/>
      <c r="F13" s="4" t="s">
        <v>128</v>
      </c>
      <c r="G13" s="15">
        <v>90</v>
      </c>
      <c r="H13" s="15"/>
      <c r="I13" s="15">
        <f>G13*AK13</f>
        <v>0</v>
      </c>
      <c r="J13" s="15">
        <f>G13*AL13</f>
        <v>0</v>
      </c>
      <c r="K13" s="15">
        <f>G13*H13</f>
        <v>0</v>
      </c>
      <c r="L13" s="25" t="s">
        <v>148</v>
      </c>
      <c r="V13" s="30">
        <f>IF(AM13="5",BF13,0)</f>
        <v>0</v>
      </c>
      <c r="X13" s="30">
        <f>IF(AM13="1",BD13,0)</f>
        <v>0</v>
      </c>
      <c r="Y13" s="30">
        <f>IF(AM13="1",BE13,0)</f>
        <v>0</v>
      </c>
      <c r="Z13" s="30">
        <f>IF(AM13="7",BD13,0)</f>
        <v>0</v>
      </c>
      <c r="AA13" s="30">
        <f>IF(AM13="7",BE13,0)</f>
        <v>0</v>
      </c>
      <c r="AB13" s="30">
        <f>IF(AM13="2",BD13,0)</f>
        <v>0</v>
      </c>
      <c r="AC13" s="30">
        <f>IF(AM13="2",BE13,0)</f>
        <v>0</v>
      </c>
      <c r="AD13" s="30">
        <f>IF(AM13="0",BF13,0)</f>
        <v>0</v>
      </c>
      <c r="AE13" s="26"/>
      <c r="AF13" s="15">
        <f>IF(AJ13=0,K13,0)</f>
        <v>0</v>
      </c>
      <c r="AG13" s="15">
        <f>IF(AJ13=15,K13,0)</f>
        <v>0</v>
      </c>
      <c r="AH13" s="15">
        <f>IF(AJ13=21,K13,0)</f>
        <v>0</v>
      </c>
      <c r="AJ13" s="30">
        <v>15</v>
      </c>
      <c r="AK13" s="30">
        <f>H13*0.111054384692862</f>
        <v>0</v>
      </c>
      <c r="AL13" s="30">
        <f>H13*(1-0.111054384692862)</f>
        <v>0</v>
      </c>
      <c r="AM13" s="25" t="s">
        <v>7</v>
      </c>
      <c r="AR13" s="30">
        <f>AS13+AT13</f>
        <v>0</v>
      </c>
      <c r="AS13" s="30">
        <f>G13*AK13</f>
        <v>0</v>
      </c>
      <c r="AT13" s="30">
        <f>G13*AL13</f>
        <v>0</v>
      </c>
      <c r="AU13" s="31" t="s">
        <v>158</v>
      </c>
      <c r="AV13" s="31" t="s">
        <v>170</v>
      </c>
      <c r="AW13" s="26" t="s">
        <v>175</v>
      </c>
      <c r="AY13" s="30">
        <f>AS13+AT13</f>
        <v>0</v>
      </c>
      <c r="AZ13" s="30">
        <f>H13/(100-BA13)*100</f>
        <v>0</v>
      </c>
      <c r="BA13" s="30">
        <v>0</v>
      </c>
      <c r="BB13" s="30">
        <f>13</f>
        <v>13</v>
      </c>
      <c r="BD13" s="15">
        <f>G13*AK13</f>
        <v>0</v>
      </c>
      <c r="BE13" s="15">
        <f>G13*AL13</f>
        <v>0</v>
      </c>
      <c r="BF13" s="15">
        <f>G13*H13</f>
        <v>0</v>
      </c>
    </row>
    <row r="14" spans="1:58" ht="12.75">
      <c r="A14" s="4" t="s">
        <v>8</v>
      </c>
      <c r="B14" s="4" t="s">
        <v>40</v>
      </c>
      <c r="C14" s="103" t="s">
        <v>84</v>
      </c>
      <c r="D14" s="104"/>
      <c r="E14" s="104"/>
      <c r="F14" s="4" t="s">
        <v>128</v>
      </c>
      <c r="G14" s="15">
        <v>90</v>
      </c>
      <c r="H14" s="15"/>
      <c r="I14" s="15">
        <f>G14*AK14</f>
        <v>0</v>
      </c>
      <c r="J14" s="15">
        <f>G14*AL14</f>
        <v>0</v>
      </c>
      <c r="K14" s="15">
        <f>G14*H14</f>
        <v>0</v>
      </c>
      <c r="L14" s="25" t="s">
        <v>148</v>
      </c>
      <c r="V14" s="30">
        <f>IF(AM14="5",BF14,0)</f>
        <v>0</v>
      </c>
      <c r="X14" s="30">
        <f>IF(AM14="1",BD14,0)</f>
        <v>0</v>
      </c>
      <c r="Y14" s="30">
        <f>IF(AM14="1",BE14,0)</f>
        <v>0</v>
      </c>
      <c r="Z14" s="30">
        <f>IF(AM14="7",BD14,0)</f>
        <v>0</v>
      </c>
      <c r="AA14" s="30">
        <f>IF(AM14="7",BE14,0)</f>
        <v>0</v>
      </c>
      <c r="AB14" s="30">
        <f>IF(AM14="2",BD14,0)</f>
        <v>0</v>
      </c>
      <c r="AC14" s="30">
        <f>IF(AM14="2",BE14,0)</f>
        <v>0</v>
      </c>
      <c r="AD14" s="30">
        <f>IF(AM14="0",BF14,0)</f>
        <v>0</v>
      </c>
      <c r="AE14" s="26"/>
      <c r="AF14" s="15">
        <f>IF(AJ14=0,K14,0)</f>
        <v>0</v>
      </c>
      <c r="AG14" s="15">
        <f>IF(AJ14=15,K14,0)</f>
        <v>0</v>
      </c>
      <c r="AH14" s="15">
        <f>IF(AJ14=21,K14,0)</f>
        <v>0</v>
      </c>
      <c r="AJ14" s="30">
        <v>15</v>
      </c>
      <c r="AK14" s="30">
        <f>H14*0.412741432375158</f>
        <v>0</v>
      </c>
      <c r="AL14" s="30">
        <f>H14*(1-0.412741432375158)</f>
        <v>0</v>
      </c>
      <c r="AM14" s="25" t="s">
        <v>7</v>
      </c>
      <c r="AR14" s="30">
        <f>AS14+AT14</f>
        <v>0</v>
      </c>
      <c r="AS14" s="30">
        <f>G14*AK14</f>
        <v>0</v>
      </c>
      <c r="AT14" s="30">
        <f>G14*AL14</f>
        <v>0</v>
      </c>
      <c r="AU14" s="31" t="s">
        <v>158</v>
      </c>
      <c r="AV14" s="31" t="s">
        <v>170</v>
      </c>
      <c r="AW14" s="26" t="s">
        <v>175</v>
      </c>
      <c r="AY14" s="30">
        <f>AS14+AT14</f>
        <v>0</v>
      </c>
      <c r="AZ14" s="30">
        <f>H14/(100-BA14)*100</f>
        <v>0</v>
      </c>
      <c r="BA14" s="30">
        <v>0</v>
      </c>
      <c r="BB14" s="30">
        <f>14</f>
        <v>14</v>
      </c>
      <c r="BD14" s="15">
        <f>G14*AK14</f>
        <v>0</v>
      </c>
      <c r="BE14" s="15">
        <f>G14*AL14</f>
        <v>0</v>
      </c>
      <c r="BF14" s="15">
        <f>G14*H14</f>
        <v>0</v>
      </c>
    </row>
    <row r="15" spans="1:43" ht="12.75">
      <c r="A15" s="5"/>
      <c r="B15" s="12" t="s">
        <v>41</v>
      </c>
      <c r="C15" s="105" t="s">
        <v>85</v>
      </c>
      <c r="D15" s="106"/>
      <c r="E15" s="106"/>
      <c r="F15" s="5" t="s">
        <v>6</v>
      </c>
      <c r="G15" s="5" t="s">
        <v>6</v>
      </c>
      <c r="H15" s="5"/>
      <c r="I15" s="33">
        <f>SUM(I16:I16)</f>
        <v>0</v>
      </c>
      <c r="J15" s="33">
        <f>SUM(J16:J16)</f>
        <v>0</v>
      </c>
      <c r="K15" s="33">
        <f>SUM(K16:K16)</f>
        <v>0</v>
      </c>
      <c r="L15" s="26"/>
      <c r="AE15" s="26"/>
      <c r="AO15" s="33">
        <f>SUM(AF16:AF16)</f>
        <v>0</v>
      </c>
      <c r="AP15" s="33">
        <f>SUM(AG16:AG16)</f>
        <v>0</v>
      </c>
      <c r="AQ15" s="33">
        <f>SUM(AH16:AH16)</f>
        <v>0</v>
      </c>
    </row>
    <row r="16" spans="1:58" ht="12.75">
      <c r="A16" s="4" t="s">
        <v>9</v>
      </c>
      <c r="B16" s="4" t="s">
        <v>42</v>
      </c>
      <c r="C16" s="103" t="s">
        <v>86</v>
      </c>
      <c r="D16" s="104"/>
      <c r="E16" s="104"/>
      <c r="F16" s="4" t="s">
        <v>128</v>
      </c>
      <c r="G16" s="15">
        <v>240</v>
      </c>
      <c r="H16" s="15"/>
      <c r="I16" s="15">
        <f>G16*AK16</f>
        <v>0</v>
      </c>
      <c r="J16" s="15">
        <f>G16*AL16</f>
        <v>0</v>
      </c>
      <c r="K16" s="15">
        <f>G16*H16</f>
        <v>0</v>
      </c>
      <c r="L16" s="25" t="s">
        <v>148</v>
      </c>
      <c r="V16" s="30">
        <f>IF(AM16="5",BF16,0)</f>
        <v>0</v>
      </c>
      <c r="X16" s="30">
        <f>IF(AM16="1",BD16,0)</f>
        <v>0</v>
      </c>
      <c r="Y16" s="30">
        <f>IF(AM16="1",BE16,0)</f>
        <v>0</v>
      </c>
      <c r="Z16" s="30">
        <f>IF(AM16="7",BD16,0)</f>
        <v>0</v>
      </c>
      <c r="AA16" s="30">
        <f>IF(AM16="7",BE16,0)</f>
        <v>0</v>
      </c>
      <c r="AB16" s="30">
        <f>IF(AM16="2",BD16,0)</f>
        <v>0</v>
      </c>
      <c r="AC16" s="30">
        <f>IF(AM16="2",BE16,0)</f>
        <v>0</v>
      </c>
      <c r="AD16" s="30">
        <f>IF(AM16="0",BF16,0)</f>
        <v>0</v>
      </c>
      <c r="AE16" s="26"/>
      <c r="AF16" s="15">
        <f>IF(AJ16=0,K16,0)</f>
        <v>0</v>
      </c>
      <c r="AG16" s="15">
        <f>IF(AJ16=15,K16,0)</f>
        <v>0</v>
      </c>
      <c r="AH16" s="15">
        <f>IF(AJ16=21,K16,0)</f>
        <v>0</v>
      </c>
      <c r="AJ16" s="30">
        <v>15</v>
      </c>
      <c r="AK16" s="30">
        <f>H16*0.303619909502262</f>
        <v>0</v>
      </c>
      <c r="AL16" s="30">
        <f>H16*(1-0.303619909502262)</f>
        <v>0</v>
      </c>
      <c r="AM16" s="25" t="s">
        <v>7</v>
      </c>
      <c r="AR16" s="30">
        <f>AS16+AT16</f>
        <v>0</v>
      </c>
      <c r="AS16" s="30">
        <f>G16*AK16</f>
        <v>0</v>
      </c>
      <c r="AT16" s="30">
        <f>G16*AL16</f>
        <v>0</v>
      </c>
      <c r="AU16" s="31" t="s">
        <v>159</v>
      </c>
      <c r="AV16" s="31" t="s">
        <v>170</v>
      </c>
      <c r="AW16" s="26" t="s">
        <v>175</v>
      </c>
      <c r="AY16" s="30">
        <f>AS16+AT16</f>
        <v>0</v>
      </c>
      <c r="AZ16" s="30">
        <f>H16/(100-BA16)*100</f>
        <v>0</v>
      </c>
      <c r="BA16" s="30">
        <v>0</v>
      </c>
      <c r="BB16" s="30">
        <f>16</f>
        <v>16</v>
      </c>
      <c r="BD16" s="15">
        <f>G16*AK16</f>
        <v>0</v>
      </c>
      <c r="BE16" s="15">
        <f>G16*AL16</f>
        <v>0</v>
      </c>
      <c r="BF16" s="15">
        <f>G16*H16</f>
        <v>0</v>
      </c>
    </row>
    <row r="17" spans="1:43" ht="12.75">
      <c r="A17" s="5"/>
      <c r="B17" s="12" t="s">
        <v>43</v>
      </c>
      <c r="C17" s="105" t="s">
        <v>87</v>
      </c>
      <c r="D17" s="106"/>
      <c r="E17" s="106"/>
      <c r="F17" s="5" t="s">
        <v>6</v>
      </c>
      <c r="G17" s="5" t="s">
        <v>6</v>
      </c>
      <c r="H17" s="5"/>
      <c r="I17" s="33">
        <f>SUM(I18:I25)</f>
        <v>0</v>
      </c>
      <c r="J17" s="33">
        <f>SUM(J18:J25)</f>
        <v>0</v>
      </c>
      <c r="K17" s="33">
        <f>SUM(K18:K26)</f>
        <v>0</v>
      </c>
      <c r="L17" s="26"/>
      <c r="AE17" s="26"/>
      <c r="AO17" s="33">
        <f>SUM(AF18:AF25)</f>
        <v>0</v>
      </c>
      <c r="AP17" s="33">
        <f>SUM(AG18:AG25)</f>
        <v>0</v>
      </c>
      <c r="AQ17" s="33">
        <f>SUM(AH18:AH25)</f>
        <v>0</v>
      </c>
    </row>
    <row r="18" spans="1:58" ht="12.75">
      <c r="A18" s="4" t="s">
        <v>10</v>
      </c>
      <c r="B18" s="4" t="s">
        <v>44</v>
      </c>
      <c r="C18" s="103" t="s">
        <v>88</v>
      </c>
      <c r="D18" s="104"/>
      <c r="E18" s="104"/>
      <c r="F18" s="4" t="s">
        <v>129</v>
      </c>
      <c r="G18" s="15">
        <v>540</v>
      </c>
      <c r="H18" s="15"/>
      <c r="I18" s="15">
        <f aca="true" t="shared" si="0" ref="I18:I26">G18*AK18</f>
        <v>0</v>
      </c>
      <c r="J18" s="15">
        <f aca="true" t="shared" si="1" ref="J18:J26">G18*AL18</f>
        <v>0</v>
      </c>
      <c r="K18" s="15">
        <f aca="true" t="shared" si="2" ref="K18:K25">G18*H18</f>
        <v>0</v>
      </c>
      <c r="L18" s="25" t="s">
        <v>148</v>
      </c>
      <c r="V18" s="30">
        <f aca="true" t="shared" si="3" ref="V18:V25">IF(AM18="5",BF18,0)</f>
        <v>0</v>
      </c>
      <c r="X18" s="30">
        <f aca="true" t="shared" si="4" ref="X18:X25">IF(AM18="1",BD18,0)</f>
        <v>0</v>
      </c>
      <c r="Y18" s="30">
        <f aca="true" t="shared" si="5" ref="Y18:Y25">IF(AM18="1",BE18,0)</f>
        <v>0</v>
      </c>
      <c r="Z18" s="30">
        <f aca="true" t="shared" si="6" ref="Z18:Z25">IF(AM18="7",BD18,0)</f>
        <v>0</v>
      </c>
      <c r="AA18" s="30">
        <f aca="true" t="shared" si="7" ref="AA18:AA25">IF(AM18="7",BE18,0)</f>
        <v>0</v>
      </c>
      <c r="AB18" s="30">
        <f aca="true" t="shared" si="8" ref="AB18:AB25">IF(AM18="2",BD18,0)</f>
        <v>0</v>
      </c>
      <c r="AC18" s="30">
        <f aca="true" t="shared" si="9" ref="AC18:AC25">IF(AM18="2",BE18,0)</f>
        <v>0</v>
      </c>
      <c r="AD18" s="30">
        <f aca="true" t="shared" si="10" ref="AD18:AD25">IF(AM18="0",BF18,0)</f>
        <v>0</v>
      </c>
      <c r="AE18" s="26"/>
      <c r="AF18" s="15">
        <f aca="true" t="shared" si="11" ref="AF18:AF25">IF(AJ18=0,K18,0)</f>
        <v>0</v>
      </c>
      <c r="AG18" s="15">
        <f aca="true" t="shared" si="12" ref="AG18:AG25">IF(AJ18=15,K18,0)</f>
        <v>0</v>
      </c>
      <c r="AH18" s="15">
        <f aca="true" t="shared" si="13" ref="AH18:AH25">IF(AJ18=21,K18,0)</f>
        <v>0</v>
      </c>
      <c r="AJ18" s="30">
        <v>15</v>
      </c>
      <c r="AK18" s="30">
        <f>H18*0.0139808617594255</f>
        <v>0</v>
      </c>
      <c r="AL18" s="30">
        <f>H18*(1-0.0139808617594255)</f>
        <v>0</v>
      </c>
      <c r="AM18" s="25" t="s">
        <v>13</v>
      </c>
      <c r="AR18" s="30">
        <f aca="true" t="shared" si="14" ref="AR18:AR25">AS18+AT18</f>
        <v>0</v>
      </c>
      <c r="AS18" s="30">
        <f aca="true" t="shared" si="15" ref="AS18:AS25">G18*AK18</f>
        <v>0</v>
      </c>
      <c r="AT18" s="30">
        <f aca="true" t="shared" si="16" ref="AT18:AT25">G18*AL18</f>
        <v>0</v>
      </c>
      <c r="AU18" s="31" t="s">
        <v>160</v>
      </c>
      <c r="AV18" s="31" t="s">
        <v>171</v>
      </c>
      <c r="AW18" s="26" t="s">
        <v>175</v>
      </c>
      <c r="AY18" s="30">
        <f aca="true" t="shared" si="17" ref="AY18:AY25">AS18+AT18</f>
        <v>0</v>
      </c>
      <c r="AZ18" s="30">
        <f aca="true" t="shared" si="18" ref="AZ18:AZ25">H18/(100-BA18)*100</f>
        <v>0</v>
      </c>
      <c r="BA18" s="30">
        <v>0</v>
      </c>
      <c r="BB18" s="30">
        <f>18</f>
        <v>18</v>
      </c>
      <c r="BD18" s="15">
        <f aca="true" t="shared" si="19" ref="BD18:BD25">G18*AK18</f>
        <v>0</v>
      </c>
      <c r="BE18" s="15">
        <f aca="true" t="shared" si="20" ref="BE18:BE25">G18*AL18</f>
        <v>0</v>
      </c>
      <c r="BF18" s="15">
        <f aca="true" t="shared" si="21" ref="BF18:BF26">G18*H18</f>
        <v>0</v>
      </c>
    </row>
    <row r="19" spans="1:58" ht="12.75">
      <c r="A19" s="4" t="s">
        <v>11</v>
      </c>
      <c r="B19" s="4" t="s">
        <v>45</v>
      </c>
      <c r="C19" s="103" t="s">
        <v>89</v>
      </c>
      <c r="D19" s="104"/>
      <c r="E19" s="104"/>
      <c r="F19" s="4" t="s">
        <v>129</v>
      </c>
      <c r="G19" s="15">
        <v>540</v>
      </c>
      <c r="H19" s="15"/>
      <c r="I19" s="15">
        <f t="shared" si="0"/>
        <v>0</v>
      </c>
      <c r="J19" s="15">
        <f t="shared" si="1"/>
        <v>0</v>
      </c>
      <c r="K19" s="15">
        <f t="shared" si="2"/>
        <v>0</v>
      </c>
      <c r="L19" s="25" t="s">
        <v>148</v>
      </c>
      <c r="V19" s="30">
        <f t="shared" si="3"/>
        <v>0</v>
      </c>
      <c r="X19" s="30">
        <f t="shared" si="4"/>
        <v>0</v>
      </c>
      <c r="Y19" s="30">
        <f t="shared" si="5"/>
        <v>0</v>
      </c>
      <c r="Z19" s="30">
        <f t="shared" si="6"/>
        <v>0</v>
      </c>
      <c r="AA19" s="30">
        <f t="shared" si="7"/>
        <v>0</v>
      </c>
      <c r="AB19" s="30">
        <f t="shared" si="8"/>
        <v>0</v>
      </c>
      <c r="AC19" s="30">
        <f t="shared" si="9"/>
        <v>0</v>
      </c>
      <c r="AD19" s="30">
        <f t="shared" si="10"/>
        <v>0</v>
      </c>
      <c r="AE19" s="26"/>
      <c r="AF19" s="15">
        <f t="shared" si="11"/>
        <v>0</v>
      </c>
      <c r="AG19" s="15">
        <f t="shared" si="12"/>
        <v>0</v>
      </c>
      <c r="AH19" s="15">
        <f t="shared" si="13"/>
        <v>0</v>
      </c>
      <c r="AJ19" s="30">
        <v>15</v>
      </c>
      <c r="AK19" s="30">
        <f>H19*0</f>
        <v>0</v>
      </c>
      <c r="AL19" s="30">
        <f>H19*(1-0)</f>
        <v>0</v>
      </c>
      <c r="AM19" s="25" t="s">
        <v>13</v>
      </c>
      <c r="AR19" s="30">
        <f t="shared" si="14"/>
        <v>0</v>
      </c>
      <c r="AS19" s="30">
        <f t="shared" si="15"/>
        <v>0</v>
      </c>
      <c r="AT19" s="30">
        <f t="shared" si="16"/>
        <v>0</v>
      </c>
      <c r="AU19" s="31" t="s">
        <v>160</v>
      </c>
      <c r="AV19" s="31" t="s">
        <v>171</v>
      </c>
      <c r="AW19" s="26" t="s">
        <v>175</v>
      </c>
      <c r="AY19" s="30">
        <f t="shared" si="17"/>
        <v>0</v>
      </c>
      <c r="AZ19" s="30">
        <f t="shared" si="18"/>
        <v>0</v>
      </c>
      <c r="BA19" s="30">
        <v>0</v>
      </c>
      <c r="BB19" s="30">
        <f>19</f>
        <v>19</v>
      </c>
      <c r="BD19" s="15">
        <f t="shared" si="19"/>
        <v>0</v>
      </c>
      <c r="BE19" s="15">
        <f t="shared" si="20"/>
        <v>0</v>
      </c>
      <c r="BF19" s="15">
        <f t="shared" si="21"/>
        <v>0</v>
      </c>
    </row>
    <row r="20" spans="1:58" ht="12.75">
      <c r="A20" s="4" t="s">
        <v>12</v>
      </c>
      <c r="B20" s="4" t="s">
        <v>46</v>
      </c>
      <c r="C20" s="103" t="s">
        <v>90</v>
      </c>
      <c r="D20" s="104"/>
      <c r="E20" s="104"/>
      <c r="F20" s="4" t="s">
        <v>129</v>
      </c>
      <c r="G20" s="15">
        <v>620</v>
      </c>
      <c r="H20" s="15"/>
      <c r="I20" s="15">
        <f t="shared" si="0"/>
        <v>0</v>
      </c>
      <c r="J20" s="15">
        <f t="shared" si="1"/>
        <v>0</v>
      </c>
      <c r="K20" s="15">
        <f t="shared" si="2"/>
        <v>0</v>
      </c>
      <c r="L20" s="25" t="s">
        <v>148</v>
      </c>
      <c r="V20" s="30">
        <f t="shared" si="3"/>
        <v>0</v>
      </c>
      <c r="X20" s="30">
        <f t="shared" si="4"/>
        <v>0</v>
      </c>
      <c r="Y20" s="30">
        <f t="shared" si="5"/>
        <v>0</v>
      </c>
      <c r="Z20" s="30">
        <f t="shared" si="6"/>
        <v>0</v>
      </c>
      <c r="AA20" s="30">
        <f t="shared" si="7"/>
        <v>0</v>
      </c>
      <c r="AB20" s="30">
        <f t="shared" si="8"/>
        <v>0</v>
      </c>
      <c r="AC20" s="30">
        <f t="shared" si="9"/>
        <v>0</v>
      </c>
      <c r="AD20" s="30">
        <f t="shared" si="10"/>
        <v>0</v>
      </c>
      <c r="AE20" s="26"/>
      <c r="AF20" s="15">
        <f t="shared" si="11"/>
        <v>0</v>
      </c>
      <c r="AG20" s="15">
        <f t="shared" si="12"/>
        <v>0</v>
      </c>
      <c r="AH20" s="15">
        <f t="shared" si="13"/>
        <v>0</v>
      </c>
      <c r="AJ20" s="30">
        <v>15</v>
      </c>
      <c r="AK20" s="30">
        <f>H20*0.487661228576477</f>
        <v>0</v>
      </c>
      <c r="AL20" s="30">
        <f>H20*(1-0.487661228576477)</f>
        <v>0</v>
      </c>
      <c r="AM20" s="25" t="s">
        <v>13</v>
      </c>
      <c r="AR20" s="30">
        <f t="shared" si="14"/>
        <v>0</v>
      </c>
      <c r="AS20" s="30">
        <f t="shared" si="15"/>
        <v>0</v>
      </c>
      <c r="AT20" s="30">
        <f t="shared" si="16"/>
        <v>0</v>
      </c>
      <c r="AU20" s="31" t="s">
        <v>160</v>
      </c>
      <c r="AV20" s="31" t="s">
        <v>171</v>
      </c>
      <c r="AW20" s="26" t="s">
        <v>175</v>
      </c>
      <c r="AY20" s="30">
        <f t="shared" si="17"/>
        <v>0</v>
      </c>
      <c r="AZ20" s="30">
        <f t="shared" si="18"/>
        <v>0</v>
      </c>
      <c r="BA20" s="30">
        <v>0</v>
      </c>
      <c r="BB20" s="30">
        <f>20</f>
        <v>20</v>
      </c>
      <c r="BD20" s="15">
        <f t="shared" si="19"/>
        <v>0</v>
      </c>
      <c r="BE20" s="15">
        <f t="shared" si="20"/>
        <v>0</v>
      </c>
      <c r="BF20" s="15">
        <f t="shared" si="21"/>
        <v>0</v>
      </c>
    </row>
    <row r="21" spans="1:58" ht="12.75">
      <c r="A21" s="4" t="s">
        <v>13</v>
      </c>
      <c r="B21" s="4" t="s">
        <v>47</v>
      </c>
      <c r="C21" s="103" t="s">
        <v>91</v>
      </c>
      <c r="D21" s="104"/>
      <c r="E21" s="104"/>
      <c r="F21" s="4" t="s">
        <v>129</v>
      </c>
      <c r="G21" s="15">
        <v>540</v>
      </c>
      <c r="H21" s="15"/>
      <c r="I21" s="15">
        <f t="shared" si="0"/>
        <v>0</v>
      </c>
      <c r="J21" s="15">
        <f t="shared" si="1"/>
        <v>0</v>
      </c>
      <c r="K21" s="15">
        <f t="shared" si="2"/>
        <v>0</v>
      </c>
      <c r="L21" s="25" t="s">
        <v>148</v>
      </c>
      <c r="V21" s="30">
        <f t="shared" si="3"/>
        <v>0</v>
      </c>
      <c r="X21" s="30">
        <f t="shared" si="4"/>
        <v>0</v>
      </c>
      <c r="Y21" s="30">
        <f t="shared" si="5"/>
        <v>0</v>
      </c>
      <c r="Z21" s="30">
        <f t="shared" si="6"/>
        <v>0</v>
      </c>
      <c r="AA21" s="30">
        <f t="shared" si="7"/>
        <v>0</v>
      </c>
      <c r="AB21" s="30">
        <f t="shared" si="8"/>
        <v>0</v>
      </c>
      <c r="AC21" s="30">
        <f t="shared" si="9"/>
        <v>0</v>
      </c>
      <c r="AD21" s="30">
        <f t="shared" si="10"/>
        <v>0</v>
      </c>
      <c r="AE21" s="26"/>
      <c r="AF21" s="15">
        <f t="shared" si="11"/>
        <v>0</v>
      </c>
      <c r="AG21" s="15">
        <f t="shared" si="12"/>
        <v>0</v>
      </c>
      <c r="AH21" s="15">
        <f t="shared" si="13"/>
        <v>0</v>
      </c>
      <c r="AJ21" s="30">
        <v>15</v>
      </c>
      <c r="AK21" s="30">
        <f>H21*0.0411725294595515</f>
        <v>0</v>
      </c>
      <c r="AL21" s="30">
        <f>H21*(1-0.0411725294595515)</f>
        <v>0</v>
      </c>
      <c r="AM21" s="25" t="s">
        <v>13</v>
      </c>
      <c r="AR21" s="30">
        <f t="shared" si="14"/>
        <v>0</v>
      </c>
      <c r="AS21" s="30">
        <f t="shared" si="15"/>
        <v>0</v>
      </c>
      <c r="AT21" s="30">
        <f t="shared" si="16"/>
        <v>0</v>
      </c>
      <c r="AU21" s="31" t="s">
        <v>160</v>
      </c>
      <c r="AV21" s="31" t="s">
        <v>171</v>
      </c>
      <c r="AW21" s="26" t="s">
        <v>175</v>
      </c>
      <c r="AY21" s="30">
        <f t="shared" si="17"/>
        <v>0</v>
      </c>
      <c r="AZ21" s="30">
        <f t="shared" si="18"/>
        <v>0</v>
      </c>
      <c r="BA21" s="30">
        <v>0</v>
      </c>
      <c r="BB21" s="30">
        <f>21</f>
        <v>21</v>
      </c>
      <c r="BD21" s="15">
        <f t="shared" si="19"/>
        <v>0</v>
      </c>
      <c r="BE21" s="15">
        <f t="shared" si="20"/>
        <v>0</v>
      </c>
      <c r="BF21" s="15">
        <f t="shared" si="21"/>
        <v>0</v>
      </c>
    </row>
    <row r="22" spans="1:58" ht="12.75">
      <c r="A22" s="4" t="s">
        <v>14</v>
      </c>
      <c r="B22" s="4" t="s">
        <v>48</v>
      </c>
      <c r="C22" s="103" t="s">
        <v>92</v>
      </c>
      <c r="D22" s="104"/>
      <c r="E22" s="104"/>
      <c r="F22" s="4" t="s">
        <v>130</v>
      </c>
      <c r="G22" s="15">
        <v>108</v>
      </c>
      <c r="H22" s="15"/>
      <c r="I22" s="15">
        <f t="shared" si="0"/>
        <v>0</v>
      </c>
      <c r="J22" s="15">
        <f t="shared" si="1"/>
        <v>0</v>
      </c>
      <c r="K22" s="15">
        <f t="shared" si="2"/>
        <v>0</v>
      </c>
      <c r="L22" s="25" t="s">
        <v>148</v>
      </c>
      <c r="V22" s="30">
        <f t="shared" si="3"/>
        <v>0</v>
      </c>
      <c r="X22" s="30">
        <f t="shared" si="4"/>
        <v>0</v>
      </c>
      <c r="Y22" s="30">
        <f t="shared" si="5"/>
        <v>0</v>
      </c>
      <c r="Z22" s="30">
        <f t="shared" si="6"/>
        <v>0</v>
      </c>
      <c r="AA22" s="30">
        <f t="shared" si="7"/>
        <v>0</v>
      </c>
      <c r="AB22" s="30">
        <f t="shared" si="8"/>
        <v>0</v>
      </c>
      <c r="AC22" s="30">
        <f t="shared" si="9"/>
        <v>0</v>
      </c>
      <c r="AD22" s="30">
        <f t="shared" si="10"/>
        <v>0</v>
      </c>
      <c r="AE22" s="26"/>
      <c r="AF22" s="15">
        <f t="shared" si="11"/>
        <v>0</v>
      </c>
      <c r="AG22" s="15">
        <f t="shared" si="12"/>
        <v>0</v>
      </c>
      <c r="AH22" s="15">
        <f t="shared" si="13"/>
        <v>0</v>
      </c>
      <c r="AJ22" s="30">
        <v>15</v>
      </c>
      <c r="AK22" s="30">
        <f>H22*0</f>
        <v>0</v>
      </c>
      <c r="AL22" s="30">
        <f>H22*(1-0)</f>
        <v>0</v>
      </c>
      <c r="AM22" s="25" t="s">
        <v>13</v>
      </c>
      <c r="AR22" s="30">
        <f t="shared" si="14"/>
        <v>0</v>
      </c>
      <c r="AS22" s="30">
        <f t="shared" si="15"/>
        <v>0</v>
      </c>
      <c r="AT22" s="30">
        <f t="shared" si="16"/>
        <v>0</v>
      </c>
      <c r="AU22" s="31" t="s">
        <v>160</v>
      </c>
      <c r="AV22" s="31" t="s">
        <v>171</v>
      </c>
      <c r="AW22" s="26" t="s">
        <v>175</v>
      </c>
      <c r="AY22" s="30">
        <f t="shared" si="17"/>
        <v>0</v>
      </c>
      <c r="AZ22" s="30">
        <f t="shared" si="18"/>
        <v>0</v>
      </c>
      <c r="BA22" s="30">
        <v>0</v>
      </c>
      <c r="BB22" s="30">
        <f>22</f>
        <v>22</v>
      </c>
      <c r="BD22" s="15">
        <f t="shared" si="19"/>
        <v>0</v>
      </c>
      <c r="BE22" s="15">
        <f t="shared" si="20"/>
        <v>0</v>
      </c>
      <c r="BF22" s="15">
        <f t="shared" si="21"/>
        <v>0</v>
      </c>
    </row>
    <row r="23" spans="1:58" ht="12.75">
      <c r="A23" s="4" t="s">
        <v>15</v>
      </c>
      <c r="B23" s="4" t="s">
        <v>49</v>
      </c>
      <c r="C23" s="103" t="s">
        <v>93</v>
      </c>
      <c r="D23" s="104"/>
      <c r="E23" s="104"/>
      <c r="F23" s="4" t="s">
        <v>129</v>
      </c>
      <c r="G23" s="15">
        <v>360</v>
      </c>
      <c r="H23" s="15"/>
      <c r="I23" s="15">
        <f t="shared" si="0"/>
        <v>0</v>
      </c>
      <c r="J23" s="15">
        <f t="shared" si="1"/>
        <v>0</v>
      </c>
      <c r="K23" s="15">
        <f t="shared" si="2"/>
        <v>0</v>
      </c>
      <c r="L23" s="25" t="s">
        <v>148</v>
      </c>
      <c r="V23" s="30">
        <f t="shared" si="3"/>
        <v>0</v>
      </c>
      <c r="X23" s="30">
        <f t="shared" si="4"/>
        <v>0</v>
      </c>
      <c r="Y23" s="30">
        <f t="shared" si="5"/>
        <v>0</v>
      </c>
      <c r="Z23" s="30">
        <f t="shared" si="6"/>
        <v>0</v>
      </c>
      <c r="AA23" s="30">
        <f t="shared" si="7"/>
        <v>0</v>
      </c>
      <c r="AB23" s="30">
        <f t="shared" si="8"/>
        <v>0</v>
      </c>
      <c r="AC23" s="30">
        <f t="shared" si="9"/>
        <v>0</v>
      </c>
      <c r="AD23" s="30">
        <f t="shared" si="10"/>
        <v>0</v>
      </c>
      <c r="AE23" s="26"/>
      <c r="AF23" s="15">
        <f t="shared" si="11"/>
        <v>0</v>
      </c>
      <c r="AG23" s="15">
        <f t="shared" si="12"/>
        <v>0</v>
      </c>
      <c r="AH23" s="15">
        <f t="shared" si="13"/>
        <v>0</v>
      </c>
      <c r="AJ23" s="30">
        <v>15</v>
      </c>
      <c r="AK23" s="30">
        <f>H23*0.304911307428731</f>
        <v>0</v>
      </c>
      <c r="AL23" s="30">
        <f>H23*(1-0.304911307428731)</f>
        <v>0</v>
      </c>
      <c r="AM23" s="25" t="s">
        <v>13</v>
      </c>
      <c r="AR23" s="30">
        <f t="shared" si="14"/>
        <v>0</v>
      </c>
      <c r="AS23" s="30">
        <f t="shared" si="15"/>
        <v>0</v>
      </c>
      <c r="AT23" s="30">
        <f t="shared" si="16"/>
        <v>0</v>
      </c>
      <c r="AU23" s="31" t="s">
        <v>160</v>
      </c>
      <c r="AV23" s="31" t="s">
        <v>171</v>
      </c>
      <c r="AW23" s="26" t="s">
        <v>175</v>
      </c>
      <c r="AY23" s="30">
        <f t="shared" si="17"/>
        <v>0</v>
      </c>
      <c r="AZ23" s="30">
        <f t="shared" si="18"/>
        <v>0</v>
      </c>
      <c r="BA23" s="30">
        <v>0</v>
      </c>
      <c r="BB23" s="30">
        <f>23</f>
        <v>23</v>
      </c>
      <c r="BD23" s="15">
        <f t="shared" si="19"/>
        <v>0</v>
      </c>
      <c r="BE23" s="15">
        <f t="shared" si="20"/>
        <v>0</v>
      </c>
      <c r="BF23" s="15">
        <f t="shared" si="21"/>
        <v>0</v>
      </c>
    </row>
    <row r="24" spans="1:58" ht="12.75">
      <c r="A24" s="4" t="s">
        <v>16</v>
      </c>
      <c r="B24" s="4" t="s">
        <v>50</v>
      </c>
      <c r="C24" s="103" t="s">
        <v>94</v>
      </c>
      <c r="D24" s="104"/>
      <c r="E24" s="104"/>
      <c r="F24" s="4" t="s">
        <v>129</v>
      </c>
      <c r="G24" s="15">
        <v>180</v>
      </c>
      <c r="H24" s="15"/>
      <c r="I24" s="15">
        <f t="shared" si="0"/>
        <v>0</v>
      </c>
      <c r="J24" s="15">
        <f t="shared" si="1"/>
        <v>0</v>
      </c>
      <c r="K24" s="15">
        <f t="shared" si="2"/>
        <v>0</v>
      </c>
      <c r="L24" s="25" t="s">
        <v>148</v>
      </c>
      <c r="V24" s="30">
        <f t="shared" si="3"/>
        <v>0</v>
      </c>
      <c r="X24" s="30">
        <f t="shared" si="4"/>
        <v>0</v>
      </c>
      <c r="Y24" s="30">
        <f t="shared" si="5"/>
        <v>0</v>
      </c>
      <c r="Z24" s="30">
        <f t="shared" si="6"/>
        <v>0</v>
      </c>
      <c r="AA24" s="30">
        <f t="shared" si="7"/>
        <v>0</v>
      </c>
      <c r="AB24" s="30">
        <f t="shared" si="8"/>
        <v>0</v>
      </c>
      <c r="AC24" s="30">
        <f t="shared" si="9"/>
        <v>0</v>
      </c>
      <c r="AD24" s="30">
        <f t="shared" si="10"/>
        <v>0</v>
      </c>
      <c r="AE24" s="26"/>
      <c r="AF24" s="15">
        <f t="shared" si="11"/>
        <v>0</v>
      </c>
      <c r="AG24" s="15">
        <f t="shared" si="12"/>
        <v>0</v>
      </c>
      <c r="AH24" s="15">
        <f t="shared" si="13"/>
        <v>0</v>
      </c>
      <c r="AJ24" s="30">
        <v>15</v>
      </c>
      <c r="AK24" s="30">
        <f>H24*0.208528799689605</f>
        <v>0</v>
      </c>
      <c r="AL24" s="30">
        <f>H24*(1-0.208528799689605)</f>
        <v>0</v>
      </c>
      <c r="AM24" s="25" t="s">
        <v>13</v>
      </c>
      <c r="AR24" s="30">
        <f t="shared" si="14"/>
        <v>0</v>
      </c>
      <c r="AS24" s="30">
        <f t="shared" si="15"/>
        <v>0</v>
      </c>
      <c r="AT24" s="30">
        <f t="shared" si="16"/>
        <v>0</v>
      </c>
      <c r="AU24" s="31" t="s">
        <v>160</v>
      </c>
      <c r="AV24" s="31" t="s">
        <v>171</v>
      </c>
      <c r="AW24" s="26" t="s">
        <v>175</v>
      </c>
      <c r="AY24" s="30">
        <f t="shared" si="17"/>
        <v>0</v>
      </c>
      <c r="AZ24" s="30">
        <f t="shared" si="18"/>
        <v>0</v>
      </c>
      <c r="BA24" s="30">
        <v>0</v>
      </c>
      <c r="BB24" s="30">
        <f>24</f>
        <v>24</v>
      </c>
      <c r="BD24" s="15">
        <f t="shared" si="19"/>
        <v>0</v>
      </c>
      <c r="BE24" s="15">
        <f t="shared" si="20"/>
        <v>0</v>
      </c>
      <c r="BF24" s="15">
        <f t="shared" si="21"/>
        <v>0</v>
      </c>
    </row>
    <row r="25" spans="1:58" ht="12.75">
      <c r="A25" s="4" t="s">
        <v>17</v>
      </c>
      <c r="B25" s="4" t="s">
        <v>51</v>
      </c>
      <c r="C25" s="103" t="s">
        <v>95</v>
      </c>
      <c r="D25" s="104"/>
      <c r="E25" s="104"/>
      <c r="F25" s="4" t="s">
        <v>129</v>
      </c>
      <c r="G25" s="15">
        <v>135</v>
      </c>
      <c r="H25" s="15"/>
      <c r="I25" s="15">
        <f t="shared" si="0"/>
        <v>0</v>
      </c>
      <c r="J25" s="15">
        <f t="shared" si="1"/>
        <v>0</v>
      </c>
      <c r="K25" s="15">
        <f t="shared" si="2"/>
        <v>0</v>
      </c>
      <c r="L25" s="25" t="s">
        <v>148</v>
      </c>
      <c r="V25" s="30">
        <f t="shared" si="3"/>
        <v>0</v>
      </c>
      <c r="X25" s="30">
        <f t="shared" si="4"/>
        <v>0</v>
      </c>
      <c r="Y25" s="30">
        <f t="shared" si="5"/>
        <v>0</v>
      </c>
      <c r="Z25" s="30">
        <f t="shared" si="6"/>
        <v>0</v>
      </c>
      <c r="AA25" s="30">
        <f t="shared" si="7"/>
        <v>0</v>
      </c>
      <c r="AB25" s="30">
        <f t="shared" si="8"/>
        <v>0</v>
      </c>
      <c r="AC25" s="30">
        <f t="shared" si="9"/>
        <v>0</v>
      </c>
      <c r="AD25" s="30">
        <f t="shared" si="10"/>
        <v>0</v>
      </c>
      <c r="AE25" s="26"/>
      <c r="AF25" s="15">
        <f t="shared" si="11"/>
        <v>0</v>
      </c>
      <c r="AG25" s="15">
        <f t="shared" si="12"/>
        <v>0</v>
      </c>
      <c r="AH25" s="15">
        <f t="shared" si="13"/>
        <v>0</v>
      </c>
      <c r="AJ25" s="30">
        <v>15</v>
      </c>
      <c r="AK25" s="30">
        <f>H25*0.248578460493932</f>
        <v>0</v>
      </c>
      <c r="AL25" s="30">
        <f>H25*(1-0.248578460493932)</f>
        <v>0</v>
      </c>
      <c r="AM25" s="25" t="s">
        <v>13</v>
      </c>
      <c r="AR25" s="30">
        <f t="shared" si="14"/>
        <v>0</v>
      </c>
      <c r="AS25" s="30">
        <f t="shared" si="15"/>
        <v>0</v>
      </c>
      <c r="AT25" s="30">
        <f t="shared" si="16"/>
        <v>0</v>
      </c>
      <c r="AU25" s="31" t="s">
        <v>160</v>
      </c>
      <c r="AV25" s="31" t="s">
        <v>171</v>
      </c>
      <c r="AW25" s="26" t="s">
        <v>175</v>
      </c>
      <c r="AY25" s="30">
        <f t="shared" si="17"/>
        <v>0</v>
      </c>
      <c r="AZ25" s="30">
        <f t="shared" si="18"/>
        <v>0</v>
      </c>
      <c r="BA25" s="30">
        <v>0</v>
      </c>
      <c r="BB25" s="30">
        <f>25</f>
        <v>25</v>
      </c>
      <c r="BD25" s="15">
        <f t="shared" si="19"/>
        <v>0</v>
      </c>
      <c r="BE25" s="15">
        <f t="shared" si="20"/>
        <v>0</v>
      </c>
      <c r="BF25" s="15">
        <f t="shared" si="21"/>
        <v>0</v>
      </c>
    </row>
    <row r="26" spans="1:58" ht="12.75">
      <c r="A26" s="4" t="s">
        <v>18</v>
      </c>
      <c r="B26" s="4" t="s">
        <v>245</v>
      </c>
      <c r="C26" s="4" t="s">
        <v>246</v>
      </c>
      <c r="D26" s="71"/>
      <c r="E26" s="71"/>
      <c r="F26" s="4" t="s">
        <v>247</v>
      </c>
      <c r="G26" s="15">
        <v>1</v>
      </c>
      <c r="H26" s="15"/>
      <c r="I26" s="15">
        <f t="shared" si="0"/>
        <v>0</v>
      </c>
      <c r="J26" s="15">
        <f t="shared" si="1"/>
        <v>0</v>
      </c>
      <c r="K26" s="15">
        <f>G26*H26</f>
        <v>0</v>
      </c>
      <c r="L26" s="25" t="s">
        <v>148</v>
      </c>
      <c r="V26" s="30"/>
      <c r="X26" s="30"/>
      <c r="Y26" s="30"/>
      <c r="Z26" s="30"/>
      <c r="AA26" s="30"/>
      <c r="AB26" s="30"/>
      <c r="AC26" s="30"/>
      <c r="AD26" s="30"/>
      <c r="AE26" s="26"/>
      <c r="AF26" s="15"/>
      <c r="AG26" s="15"/>
      <c r="AH26" s="15"/>
      <c r="AJ26" s="30"/>
      <c r="AK26" s="30"/>
      <c r="AL26" s="30"/>
      <c r="AM26" s="25"/>
      <c r="AR26" s="30"/>
      <c r="AS26" s="30"/>
      <c r="AT26" s="30"/>
      <c r="AU26" s="31"/>
      <c r="AV26" s="31"/>
      <c r="AW26" s="26"/>
      <c r="AY26" s="30"/>
      <c r="AZ26" s="30"/>
      <c r="BA26" s="30"/>
      <c r="BB26" s="30"/>
      <c r="BD26" s="15"/>
      <c r="BE26" s="15"/>
      <c r="BF26" s="15">
        <f t="shared" si="21"/>
        <v>0</v>
      </c>
    </row>
    <row r="27" spans="1:43" ht="12.75">
      <c r="A27" s="5"/>
      <c r="B27" s="12" t="s">
        <v>52</v>
      </c>
      <c r="C27" s="105" t="s">
        <v>96</v>
      </c>
      <c r="D27" s="106"/>
      <c r="E27" s="106"/>
      <c r="F27" s="5" t="s">
        <v>6</v>
      </c>
      <c r="G27" s="5" t="s">
        <v>6</v>
      </c>
      <c r="H27" s="5"/>
      <c r="I27" s="33">
        <f>SUM(I28:I28)</f>
        <v>0</v>
      </c>
      <c r="J27" s="33">
        <f>SUM(J28:J28)</f>
        <v>0</v>
      </c>
      <c r="K27" s="33">
        <f>SUM(K28:K28)</f>
        <v>0</v>
      </c>
      <c r="L27" s="26"/>
      <c r="AE27" s="26"/>
      <c r="AO27" s="33">
        <f>SUM(AF28:AF28)</f>
        <v>0</v>
      </c>
      <c r="AP27" s="33">
        <f>SUM(AG28:AG28)</f>
        <v>0</v>
      </c>
      <c r="AQ27" s="33">
        <f>SUM(AH28:AH28)</f>
        <v>0</v>
      </c>
    </row>
    <row r="28" spans="1:58" ht="12.75">
      <c r="A28" s="4" t="s">
        <v>18</v>
      </c>
      <c r="B28" s="4" t="s">
        <v>53</v>
      </c>
      <c r="C28" s="103" t="s">
        <v>243</v>
      </c>
      <c r="D28" s="104"/>
      <c r="E28" s="104"/>
      <c r="F28" s="4" t="s">
        <v>130</v>
      </c>
      <c r="G28" s="15">
        <v>108</v>
      </c>
      <c r="H28" s="15"/>
      <c r="I28" s="15">
        <f>G28*AK28</f>
        <v>0</v>
      </c>
      <c r="J28" s="15">
        <f>G28*AL28</f>
        <v>0</v>
      </c>
      <c r="K28" s="15">
        <f>G28*H28</f>
        <v>0</v>
      </c>
      <c r="L28" s="25" t="s">
        <v>148</v>
      </c>
      <c r="V28" s="30">
        <f>IF(AM28="5",BF28,0)</f>
        <v>0</v>
      </c>
      <c r="X28" s="30">
        <f>IF(AM28="1",BD28,0)</f>
        <v>0</v>
      </c>
      <c r="Y28" s="30">
        <f>IF(AM28="1",BE28,0)</f>
        <v>0</v>
      </c>
      <c r="Z28" s="30">
        <f>IF(AM28="7",BD28,0)</f>
        <v>0</v>
      </c>
      <c r="AA28" s="30">
        <f>IF(AM28="7",BE28,0)</f>
        <v>0</v>
      </c>
      <c r="AB28" s="30">
        <f>IF(AM28="2",BD28,0)</f>
        <v>0</v>
      </c>
      <c r="AC28" s="30">
        <f>IF(AM28="2",BE28,0)</f>
        <v>0</v>
      </c>
      <c r="AD28" s="30">
        <f>IF(AM28="0",BF28,0)</f>
        <v>0</v>
      </c>
      <c r="AE28" s="26"/>
      <c r="AF28" s="15">
        <f>IF(AJ28=0,K28,0)</f>
        <v>0</v>
      </c>
      <c r="AG28" s="15">
        <f>IF(AJ28=15,K28,0)</f>
        <v>0</v>
      </c>
      <c r="AH28" s="15">
        <f>IF(AJ28=21,K28,0)</f>
        <v>0</v>
      </c>
      <c r="AJ28" s="30">
        <v>15</v>
      </c>
      <c r="AK28" s="30">
        <f>H28*0.808204334365325</f>
        <v>0</v>
      </c>
      <c r="AL28" s="30">
        <f>H28*(1-0.808204334365325)</f>
        <v>0</v>
      </c>
      <c r="AM28" s="25" t="s">
        <v>13</v>
      </c>
      <c r="AR28" s="30">
        <f>AS28+AT28</f>
        <v>0</v>
      </c>
      <c r="AS28" s="30">
        <f>G28*AK28</f>
        <v>0</v>
      </c>
      <c r="AT28" s="30">
        <f>G28*AL28</f>
        <v>0</v>
      </c>
      <c r="AU28" s="31" t="s">
        <v>161</v>
      </c>
      <c r="AV28" s="31" t="s">
        <v>172</v>
      </c>
      <c r="AW28" s="26" t="s">
        <v>175</v>
      </c>
      <c r="AY28" s="30">
        <f>AS28+AT28</f>
        <v>0</v>
      </c>
      <c r="AZ28" s="30">
        <f>H28/(100-BA28)*100</f>
        <v>0</v>
      </c>
      <c r="BA28" s="30">
        <v>0</v>
      </c>
      <c r="BB28" s="30">
        <f>27</f>
        <v>27</v>
      </c>
      <c r="BD28" s="15">
        <f>G28*AK28</f>
        <v>0</v>
      </c>
      <c r="BE28" s="15">
        <f>G28*AL28</f>
        <v>0</v>
      </c>
      <c r="BF28" s="15">
        <f>G28*H28</f>
        <v>0</v>
      </c>
    </row>
    <row r="29" spans="1:43" ht="12.75">
      <c r="A29" s="5"/>
      <c r="B29" s="12" t="s">
        <v>54</v>
      </c>
      <c r="C29" s="105" t="s">
        <v>97</v>
      </c>
      <c r="D29" s="106"/>
      <c r="E29" s="106"/>
      <c r="F29" s="5" t="s">
        <v>6</v>
      </c>
      <c r="G29" s="5" t="s">
        <v>6</v>
      </c>
      <c r="H29" s="5"/>
      <c r="I29" s="33">
        <f>SUM(I30:I30)</f>
        <v>0</v>
      </c>
      <c r="J29" s="33">
        <f>SUM(J30:J30)</f>
        <v>0</v>
      </c>
      <c r="K29" s="33">
        <f>SUM(K30:K30)</f>
        <v>0</v>
      </c>
      <c r="L29" s="26"/>
      <c r="AE29" s="26"/>
      <c r="AO29" s="33">
        <f>SUM(AF30:AF30)</f>
        <v>0</v>
      </c>
      <c r="AP29" s="33">
        <f>SUM(AG30:AG30)</f>
        <v>0</v>
      </c>
      <c r="AQ29" s="33">
        <f>SUM(AH30:AH30)</f>
        <v>0</v>
      </c>
    </row>
    <row r="30" spans="1:58" ht="12.75">
      <c r="A30" s="4" t="s">
        <v>19</v>
      </c>
      <c r="B30" s="4" t="s">
        <v>55</v>
      </c>
      <c r="C30" s="103" t="s">
        <v>98</v>
      </c>
      <c r="D30" s="104"/>
      <c r="E30" s="104"/>
      <c r="F30" s="4" t="s">
        <v>128</v>
      </c>
      <c r="G30" s="15">
        <v>0</v>
      </c>
      <c r="H30" s="15"/>
      <c r="I30" s="15">
        <f>G30*AK30</f>
        <v>0</v>
      </c>
      <c r="J30" s="15">
        <f>G30*AL30</f>
        <v>0</v>
      </c>
      <c r="K30" s="15">
        <f>G30*H30</f>
        <v>0</v>
      </c>
      <c r="L30" s="25" t="s">
        <v>148</v>
      </c>
      <c r="V30" s="30">
        <f>IF(AM30="5",BF30,0)</f>
        <v>0</v>
      </c>
      <c r="X30" s="30">
        <f>IF(AM30="1",BD30,0)</f>
        <v>0</v>
      </c>
      <c r="Y30" s="30">
        <f>IF(AM30="1",BE30,0)</f>
        <v>0</v>
      </c>
      <c r="Z30" s="30">
        <f>IF(AM30="7",BD30,0)</f>
        <v>0</v>
      </c>
      <c r="AA30" s="30">
        <f>IF(AM30="7",BE30,0)</f>
        <v>0</v>
      </c>
      <c r="AB30" s="30">
        <f>IF(AM30="2",BD30,0)</f>
        <v>0</v>
      </c>
      <c r="AC30" s="30">
        <f>IF(AM30="2",BE30,0)</f>
        <v>0</v>
      </c>
      <c r="AD30" s="30">
        <f>IF(AM30="0",BF30,0)</f>
        <v>0</v>
      </c>
      <c r="AE30" s="26"/>
      <c r="AF30" s="15">
        <f>IF(AJ30=0,K30,0)</f>
        <v>0</v>
      </c>
      <c r="AG30" s="15">
        <f>IF(AJ30=15,K30,0)</f>
        <v>0</v>
      </c>
      <c r="AH30" s="15">
        <f>IF(AJ30=21,K30,0)</f>
        <v>0</v>
      </c>
      <c r="AJ30" s="30">
        <v>15</v>
      </c>
      <c r="AK30" s="30">
        <f>H30*0.344888180606968</f>
        <v>0</v>
      </c>
      <c r="AL30" s="30">
        <f>H30*(1-0.344888180606968)</f>
        <v>0</v>
      </c>
      <c r="AM30" s="25" t="s">
        <v>13</v>
      </c>
      <c r="AR30" s="30">
        <f>AS30+AT30</f>
        <v>0</v>
      </c>
      <c r="AS30" s="30">
        <f>G30*AK30</f>
        <v>0</v>
      </c>
      <c r="AT30" s="30">
        <f>G30*AL30</f>
        <v>0</v>
      </c>
      <c r="AU30" s="31" t="s">
        <v>162</v>
      </c>
      <c r="AV30" s="31" t="s">
        <v>173</v>
      </c>
      <c r="AW30" s="26" t="s">
        <v>175</v>
      </c>
      <c r="AY30" s="30">
        <f>AS30+AT30</f>
        <v>0</v>
      </c>
      <c r="AZ30" s="30">
        <f>H30/(100-BA30)*100</f>
        <v>0</v>
      </c>
      <c r="BA30" s="30">
        <v>0</v>
      </c>
      <c r="BB30" s="30">
        <f>29</f>
        <v>29</v>
      </c>
      <c r="BD30" s="15">
        <f>G30*AK30</f>
        <v>0</v>
      </c>
      <c r="BE30" s="15">
        <f>G30*AL30</f>
        <v>0</v>
      </c>
      <c r="BF30" s="15">
        <f>G30*H30</f>
        <v>0</v>
      </c>
    </row>
    <row r="31" spans="1:43" ht="12.75">
      <c r="A31" s="5"/>
      <c r="B31" s="12" t="s">
        <v>56</v>
      </c>
      <c r="C31" s="105" t="s">
        <v>99</v>
      </c>
      <c r="D31" s="106"/>
      <c r="E31" s="106"/>
      <c r="F31" s="5" t="s">
        <v>6</v>
      </c>
      <c r="G31" s="5" t="s">
        <v>6</v>
      </c>
      <c r="H31" s="5"/>
      <c r="I31" s="33">
        <f>SUM(I32:I33)</f>
        <v>0</v>
      </c>
      <c r="J31" s="33">
        <f>SUM(J32:J33)</f>
        <v>0</v>
      </c>
      <c r="K31" s="33">
        <f>SUM(K32:K33)</f>
        <v>0</v>
      </c>
      <c r="L31" s="26"/>
      <c r="AE31" s="26"/>
      <c r="AO31" s="33">
        <f>SUM(AF32:AF33)</f>
        <v>0</v>
      </c>
      <c r="AP31" s="33">
        <f>SUM(AG32:AG33)</f>
        <v>0</v>
      </c>
      <c r="AQ31" s="33">
        <f>SUM(AH32:AH33)</f>
        <v>0</v>
      </c>
    </row>
    <row r="32" spans="1:58" ht="12.75">
      <c r="A32" s="4" t="s">
        <v>20</v>
      </c>
      <c r="B32" s="4" t="s">
        <v>57</v>
      </c>
      <c r="C32" s="103" t="s">
        <v>100</v>
      </c>
      <c r="D32" s="104"/>
      <c r="E32" s="104"/>
      <c r="F32" s="4" t="s">
        <v>128</v>
      </c>
      <c r="G32" s="15">
        <v>90</v>
      </c>
      <c r="H32" s="15"/>
      <c r="I32" s="15">
        <f>G32*AK32</f>
        <v>0</v>
      </c>
      <c r="J32" s="15">
        <f>G32*AL32</f>
        <v>0</v>
      </c>
      <c r="K32" s="15">
        <f>G32*H32</f>
        <v>0</v>
      </c>
      <c r="L32" s="25" t="s">
        <v>148</v>
      </c>
      <c r="V32" s="30">
        <f>IF(AM32="5",BF32,0)</f>
        <v>0</v>
      </c>
      <c r="X32" s="30">
        <f>IF(AM32="1",BD32,0)</f>
        <v>0</v>
      </c>
      <c r="Y32" s="30">
        <f>IF(AM32="1",BE32,0)</f>
        <v>0</v>
      </c>
      <c r="Z32" s="30">
        <f>IF(AM32="7",BD32,0)</f>
        <v>0</v>
      </c>
      <c r="AA32" s="30">
        <f>IF(AM32="7",BE32,0)</f>
        <v>0</v>
      </c>
      <c r="AB32" s="30">
        <f>IF(AM32="2",BD32,0)</f>
        <v>0</v>
      </c>
      <c r="AC32" s="30">
        <f>IF(AM32="2",BE32,0)</f>
        <v>0</v>
      </c>
      <c r="AD32" s="30">
        <f>IF(AM32="0",BF32,0)</f>
        <v>0</v>
      </c>
      <c r="AE32" s="26"/>
      <c r="AF32" s="15">
        <f>IF(AJ32=0,K32,0)</f>
        <v>0</v>
      </c>
      <c r="AG32" s="15">
        <f>IF(AJ32=15,K32,0)</f>
        <v>0</v>
      </c>
      <c r="AH32" s="15">
        <f>IF(AJ32=21,K32,0)</f>
        <v>0</v>
      </c>
      <c r="AJ32" s="30">
        <v>15</v>
      </c>
      <c r="AK32" s="30">
        <f>H32*0.246410937674285</f>
        <v>0</v>
      </c>
      <c r="AL32" s="30">
        <f>H32*(1-0.246410937674285)</f>
        <v>0</v>
      </c>
      <c r="AM32" s="25" t="s">
        <v>13</v>
      </c>
      <c r="AR32" s="30">
        <f>AS32+AT32</f>
        <v>0</v>
      </c>
      <c r="AS32" s="30">
        <f>G32*AK32</f>
        <v>0</v>
      </c>
      <c r="AT32" s="30">
        <f>G32*AL32</f>
        <v>0</v>
      </c>
      <c r="AU32" s="31" t="s">
        <v>163</v>
      </c>
      <c r="AV32" s="31" t="s">
        <v>173</v>
      </c>
      <c r="AW32" s="26" t="s">
        <v>175</v>
      </c>
      <c r="AY32" s="30">
        <f>AS32+AT32</f>
        <v>0</v>
      </c>
      <c r="AZ32" s="30">
        <f>H32/(100-BA32)*100</f>
        <v>0</v>
      </c>
      <c r="BA32" s="30">
        <v>0</v>
      </c>
      <c r="BB32" s="30">
        <f>31</f>
        <v>31</v>
      </c>
      <c r="BD32" s="15">
        <f>G32*AK32</f>
        <v>0</v>
      </c>
      <c r="BE32" s="15">
        <f>G32*AL32</f>
        <v>0</v>
      </c>
      <c r="BF32" s="15">
        <f>G32*H32</f>
        <v>0</v>
      </c>
    </row>
    <row r="33" spans="1:58" ht="12.75">
      <c r="A33" s="4" t="s">
        <v>21</v>
      </c>
      <c r="B33" s="4" t="s">
        <v>58</v>
      </c>
      <c r="C33" s="103" t="s">
        <v>101</v>
      </c>
      <c r="D33" s="104"/>
      <c r="E33" s="104"/>
      <c r="F33" s="4" t="s">
        <v>128</v>
      </c>
      <c r="G33" s="15">
        <v>90</v>
      </c>
      <c r="H33" s="15"/>
      <c r="I33" s="15">
        <f>G33*AK33</f>
        <v>0</v>
      </c>
      <c r="J33" s="15">
        <f>G33*AL33</f>
        <v>0</v>
      </c>
      <c r="K33" s="15">
        <f>G33*H33</f>
        <v>0</v>
      </c>
      <c r="L33" s="25" t="s">
        <v>148</v>
      </c>
      <c r="V33" s="30">
        <f>IF(AM33="5",BF33,0)</f>
        <v>0</v>
      </c>
      <c r="X33" s="30">
        <f>IF(AM33="1",BD33,0)</f>
        <v>0</v>
      </c>
      <c r="Y33" s="30">
        <f>IF(AM33="1",BE33,0)</f>
        <v>0</v>
      </c>
      <c r="Z33" s="30">
        <f>IF(AM33="7",BD33,0)</f>
        <v>0</v>
      </c>
      <c r="AA33" s="30">
        <f>IF(AM33="7",BE33,0)</f>
        <v>0</v>
      </c>
      <c r="AB33" s="30">
        <f>IF(AM33="2",BD33,0)</f>
        <v>0</v>
      </c>
      <c r="AC33" s="30">
        <f>IF(AM33="2",BE33,0)</f>
        <v>0</v>
      </c>
      <c r="AD33" s="30">
        <f>IF(AM33="0",BF33,0)</f>
        <v>0</v>
      </c>
      <c r="AE33" s="26"/>
      <c r="AF33" s="15">
        <f>IF(AJ33=0,K33,0)</f>
        <v>0</v>
      </c>
      <c r="AG33" s="15">
        <f>IF(AJ33=15,K33,0)</f>
        <v>0</v>
      </c>
      <c r="AH33" s="15">
        <f>IF(AJ33=21,K33,0)</f>
        <v>0</v>
      </c>
      <c r="AJ33" s="30">
        <v>15</v>
      </c>
      <c r="AK33" s="30">
        <f>H33*0.318518518518518</f>
        <v>0</v>
      </c>
      <c r="AL33" s="30">
        <f>H33*(1-0.318518518518518)</f>
        <v>0</v>
      </c>
      <c r="AM33" s="25" t="s">
        <v>13</v>
      </c>
      <c r="AR33" s="30">
        <f>AS33+AT33</f>
        <v>0</v>
      </c>
      <c r="AS33" s="30">
        <f>G33*AK33</f>
        <v>0</v>
      </c>
      <c r="AT33" s="30">
        <f>G33*AL33</f>
        <v>0</v>
      </c>
      <c r="AU33" s="31" t="s">
        <v>163</v>
      </c>
      <c r="AV33" s="31" t="s">
        <v>173</v>
      </c>
      <c r="AW33" s="26" t="s">
        <v>175</v>
      </c>
      <c r="AY33" s="30">
        <f>AS33+AT33</f>
        <v>0</v>
      </c>
      <c r="AZ33" s="30">
        <f>H33/(100-BA33)*100</f>
        <v>0</v>
      </c>
      <c r="BA33" s="30">
        <v>0</v>
      </c>
      <c r="BB33" s="30">
        <f>32</f>
        <v>32</v>
      </c>
      <c r="BD33" s="15">
        <f>G33*AK33</f>
        <v>0</v>
      </c>
      <c r="BE33" s="15">
        <f>G33*AL33</f>
        <v>0</v>
      </c>
      <c r="BF33" s="15">
        <f>G33*H33</f>
        <v>0</v>
      </c>
    </row>
    <row r="34" spans="1:43" ht="12.75">
      <c r="A34" s="5"/>
      <c r="B34" s="12" t="s">
        <v>59</v>
      </c>
      <c r="C34" s="105" t="s">
        <v>102</v>
      </c>
      <c r="D34" s="106"/>
      <c r="E34" s="106"/>
      <c r="F34" s="5" t="s">
        <v>6</v>
      </c>
      <c r="G34" s="5" t="s">
        <v>6</v>
      </c>
      <c r="H34" s="5"/>
      <c r="I34" s="33">
        <f>SUM(I35:I35)</f>
        <v>0</v>
      </c>
      <c r="J34" s="33">
        <f>SUM(J35:J35)</f>
        <v>0</v>
      </c>
      <c r="K34" s="33">
        <f>SUM(K35:K35)</f>
        <v>0</v>
      </c>
      <c r="L34" s="26"/>
      <c r="AE34" s="26"/>
      <c r="AO34" s="33">
        <f>SUM(AF35:AF35)</f>
        <v>0</v>
      </c>
      <c r="AP34" s="33">
        <f>SUM(AG35:AG35)</f>
        <v>0</v>
      </c>
      <c r="AQ34" s="33">
        <f>SUM(AH35:AH35)</f>
        <v>0</v>
      </c>
    </row>
    <row r="35" spans="1:58" ht="12.75">
      <c r="A35" s="4" t="s">
        <v>22</v>
      </c>
      <c r="B35" s="4" t="s">
        <v>60</v>
      </c>
      <c r="C35" s="103" t="s">
        <v>103</v>
      </c>
      <c r="D35" s="104"/>
      <c r="E35" s="104"/>
      <c r="F35" s="4" t="s">
        <v>131</v>
      </c>
      <c r="G35" s="15">
        <v>0</v>
      </c>
      <c r="H35" s="15"/>
      <c r="I35" s="15">
        <f>G35*AK35</f>
        <v>0</v>
      </c>
      <c r="J35" s="15">
        <f>G35*AL35</f>
        <v>0</v>
      </c>
      <c r="K35" s="15">
        <f>G35*H35</f>
        <v>0</v>
      </c>
      <c r="L35" s="25" t="s">
        <v>148</v>
      </c>
      <c r="V35" s="30">
        <f>IF(AM35="5",BF35,0)</f>
        <v>0</v>
      </c>
      <c r="X35" s="30">
        <f>IF(AM35="1",BD35,0)</f>
        <v>0</v>
      </c>
      <c r="Y35" s="30">
        <f>IF(AM35="1",BE35,0)</f>
        <v>0</v>
      </c>
      <c r="Z35" s="30">
        <f>IF(AM35="7",BD35,0)</f>
        <v>0</v>
      </c>
      <c r="AA35" s="30">
        <f>IF(AM35="7",BE35,0)</f>
        <v>0</v>
      </c>
      <c r="AB35" s="30">
        <f>IF(AM35="2",BD35,0)</f>
        <v>0</v>
      </c>
      <c r="AC35" s="30">
        <f>IF(AM35="2",BE35,0)</f>
        <v>0</v>
      </c>
      <c r="AD35" s="30">
        <f>IF(AM35="0",BF35,0)</f>
        <v>0</v>
      </c>
      <c r="AE35" s="26"/>
      <c r="AF35" s="15">
        <f>IF(AJ35=0,K35,0)</f>
        <v>0</v>
      </c>
      <c r="AG35" s="15">
        <f>IF(AJ35=15,K35,0)</f>
        <v>0</v>
      </c>
      <c r="AH35" s="15">
        <f>IF(AJ35=21,K35,0)</f>
        <v>0</v>
      </c>
      <c r="AJ35" s="30">
        <v>15</v>
      </c>
      <c r="AK35" s="30">
        <f>H35*0</f>
        <v>0</v>
      </c>
      <c r="AL35" s="30">
        <f>H35*(1-0)</f>
        <v>0</v>
      </c>
      <c r="AM35" s="25" t="s">
        <v>7</v>
      </c>
      <c r="AR35" s="30">
        <f>AS35+AT35</f>
        <v>0</v>
      </c>
      <c r="AS35" s="30">
        <f>G35*AK35</f>
        <v>0</v>
      </c>
      <c r="AT35" s="30">
        <f>G35*AL35</f>
        <v>0</v>
      </c>
      <c r="AU35" s="31" t="s">
        <v>164</v>
      </c>
      <c r="AV35" s="31" t="s">
        <v>174</v>
      </c>
      <c r="AW35" s="26" t="s">
        <v>175</v>
      </c>
      <c r="AY35" s="30">
        <f>AS35+AT35</f>
        <v>0</v>
      </c>
      <c r="AZ35" s="30">
        <f>H35/(100-BA35)*100</f>
        <v>0</v>
      </c>
      <c r="BA35" s="30">
        <v>0</v>
      </c>
      <c r="BB35" s="30">
        <f>34</f>
        <v>34</v>
      </c>
      <c r="BD35" s="15">
        <f>G35*AK35</f>
        <v>0</v>
      </c>
      <c r="BE35" s="15">
        <f>G35*AL35</f>
        <v>0</v>
      </c>
      <c r="BF35" s="15">
        <f>G35*H35</f>
        <v>0</v>
      </c>
    </row>
    <row r="36" spans="1:43" ht="12.75">
      <c r="A36" s="5"/>
      <c r="B36" s="12" t="s">
        <v>61</v>
      </c>
      <c r="C36" s="105" t="s">
        <v>104</v>
      </c>
      <c r="D36" s="106"/>
      <c r="E36" s="106"/>
      <c r="F36" s="5" t="s">
        <v>6</v>
      </c>
      <c r="G36" s="5" t="s">
        <v>6</v>
      </c>
      <c r="H36" s="5"/>
      <c r="I36" s="33">
        <f>SUM(I37:I37)</f>
        <v>0</v>
      </c>
      <c r="J36" s="33">
        <f>SUM(J37:J37)</f>
        <v>0</v>
      </c>
      <c r="K36" s="33">
        <f>SUM(K37:K37)</f>
        <v>0</v>
      </c>
      <c r="L36" s="26"/>
      <c r="AE36" s="26"/>
      <c r="AO36" s="33">
        <f>SUM(AF37:AF37)</f>
        <v>0</v>
      </c>
      <c r="AP36" s="33">
        <f>SUM(AG37:AG37)</f>
        <v>0</v>
      </c>
      <c r="AQ36" s="33">
        <f>SUM(AH37:AH37)</f>
        <v>0</v>
      </c>
    </row>
    <row r="37" spans="1:58" ht="12.75">
      <c r="A37" s="4" t="s">
        <v>23</v>
      </c>
      <c r="B37" s="4" t="s">
        <v>62</v>
      </c>
      <c r="C37" s="103" t="s">
        <v>105</v>
      </c>
      <c r="D37" s="104"/>
      <c r="E37" s="104"/>
      <c r="F37" s="4" t="s">
        <v>128</v>
      </c>
      <c r="G37" s="15">
        <v>240</v>
      </c>
      <c r="H37" s="15"/>
      <c r="I37" s="15">
        <f>G37*AK37</f>
        <v>0</v>
      </c>
      <c r="J37" s="15">
        <f>G37*AL37</f>
        <v>0</v>
      </c>
      <c r="K37" s="15">
        <f>G37*H37</f>
        <v>0</v>
      </c>
      <c r="L37" s="25" t="s">
        <v>148</v>
      </c>
      <c r="V37" s="30">
        <f>IF(AM37="5",BF37,0)</f>
        <v>0</v>
      </c>
      <c r="X37" s="30">
        <f>IF(AM37="1",BD37,0)</f>
        <v>0</v>
      </c>
      <c r="Y37" s="30">
        <f>IF(AM37="1",BE37,0)</f>
        <v>0</v>
      </c>
      <c r="Z37" s="30">
        <f>IF(AM37="7",BD37,0)</f>
        <v>0</v>
      </c>
      <c r="AA37" s="30">
        <f>IF(AM37="7",BE37,0)</f>
        <v>0</v>
      </c>
      <c r="AB37" s="30">
        <f>IF(AM37="2",BD37,0)</f>
        <v>0</v>
      </c>
      <c r="AC37" s="30">
        <f>IF(AM37="2",BE37,0)</f>
        <v>0</v>
      </c>
      <c r="AD37" s="30">
        <f>IF(AM37="0",BF37,0)</f>
        <v>0</v>
      </c>
      <c r="AE37" s="26"/>
      <c r="AF37" s="15">
        <f>IF(AJ37=0,K37,0)</f>
        <v>0</v>
      </c>
      <c r="AG37" s="15">
        <f>IF(AJ37=15,K37,0)</f>
        <v>0</v>
      </c>
      <c r="AH37" s="15">
        <f>IF(AJ37=21,K37,0)</f>
        <v>0</v>
      </c>
      <c r="AJ37" s="30">
        <v>15</v>
      </c>
      <c r="AK37" s="30">
        <f>H37*0.00162634681845904</f>
        <v>0</v>
      </c>
      <c r="AL37" s="30">
        <f>H37*(1-0.00162634681845904)</f>
        <v>0</v>
      </c>
      <c r="AM37" s="25" t="s">
        <v>7</v>
      </c>
      <c r="AR37" s="30">
        <f>AS37+AT37</f>
        <v>0</v>
      </c>
      <c r="AS37" s="30">
        <f>G37*AK37</f>
        <v>0</v>
      </c>
      <c r="AT37" s="30">
        <f>G37*AL37</f>
        <v>0</v>
      </c>
      <c r="AU37" s="31" t="s">
        <v>165</v>
      </c>
      <c r="AV37" s="31" t="s">
        <v>174</v>
      </c>
      <c r="AW37" s="26" t="s">
        <v>175</v>
      </c>
      <c r="AY37" s="30">
        <f>AS37+AT37</f>
        <v>0</v>
      </c>
      <c r="AZ37" s="30">
        <f>H37/(100-BA37)*100</f>
        <v>0</v>
      </c>
      <c r="BA37" s="30">
        <v>0</v>
      </c>
      <c r="BB37" s="30">
        <f>36</f>
        <v>36</v>
      </c>
      <c r="BD37" s="15">
        <f>G37*AK37</f>
        <v>0</v>
      </c>
      <c r="BE37" s="15">
        <f>G37*AL37</f>
        <v>0</v>
      </c>
      <c r="BF37" s="15">
        <f>G37*H37</f>
        <v>0</v>
      </c>
    </row>
    <row r="38" spans="1:43" ht="12.75">
      <c r="A38" s="5"/>
      <c r="B38" s="12" t="s">
        <v>63</v>
      </c>
      <c r="C38" s="105" t="s">
        <v>106</v>
      </c>
      <c r="D38" s="106"/>
      <c r="E38" s="106"/>
      <c r="F38" s="5" t="s">
        <v>6</v>
      </c>
      <c r="G38" s="5" t="s">
        <v>6</v>
      </c>
      <c r="H38" s="5"/>
      <c r="I38" s="33">
        <f>SUM(I39:I42)</f>
        <v>0</v>
      </c>
      <c r="J38" s="33">
        <f>SUM(J39:J42)</f>
        <v>0</v>
      </c>
      <c r="K38" s="33">
        <f>SUM(K39:K42)</f>
        <v>0</v>
      </c>
      <c r="L38" s="26"/>
      <c r="AE38" s="26"/>
      <c r="AO38" s="33">
        <f>SUM(AF39:AF42)</f>
        <v>0</v>
      </c>
      <c r="AP38" s="33">
        <f>SUM(AG39:AG42)</f>
        <v>0</v>
      </c>
      <c r="AQ38" s="33">
        <f>SUM(AH39:AH42)</f>
        <v>0</v>
      </c>
    </row>
    <row r="39" spans="1:58" ht="12.75">
      <c r="A39" s="4" t="s">
        <v>24</v>
      </c>
      <c r="B39" s="4" t="s">
        <v>64</v>
      </c>
      <c r="C39" s="103" t="s">
        <v>107</v>
      </c>
      <c r="D39" s="104"/>
      <c r="E39" s="104"/>
      <c r="F39" s="4" t="s">
        <v>129</v>
      </c>
      <c r="G39" s="15">
        <v>180</v>
      </c>
      <c r="H39" s="15"/>
      <c r="I39" s="15">
        <f>G39*AK39</f>
        <v>0</v>
      </c>
      <c r="J39" s="15">
        <f>G39*AL39</f>
        <v>0</v>
      </c>
      <c r="K39" s="15">
        <f>G39*H39</f>
        <v>0</v>
      </c>
      <c r="L39" s="25" t="s">
        <v>148</v>
      </c>
      <c r="V39" s="30">
        <f>IF(AM39="5",BF39,0)</f>
        <v>0</v>
      </c>
      <c r="X39" s="30">
        <f>IF(AM39="1",BD39,0)</f>
        <v>0</v>
      </c>
      <c r="Y39" s="30">
        <f>IF(AM39="1",BE39,0)</f>
        <v>0</v>
      </c>
      <c r="Z39" s="30">
        <f>IF(AM39="7",BD39,0)</f>
        <v>0</v>
      </c>
      <c r="AA39" s="30">
        <f>IF(AM39="7",BE39,0)</f>
        <v>0</v>
      </c>
      <c r="AB39" s="30">
        <f>IF(AM39="2",BD39,0)</f>
        <v>0</v>
      </c>
      <c r="AC39" s="30">
        <f>IF(AM39="2",BE39,0)</f>
        <v>0</v>
      </c>
      <c r="AD39" s="30">
        <f>IF(AM39="0",BF39,0)</f>
        <v>0</v>
      </c>
      <c r="AE39" s="26"/>
      <c r="AF39" s="15">
        <f>IF(AJ39=0,K39,0)</f>
        <v>0</v>
      </c>
      <c r="AG39" s="15">
        <f>IF(AJ39=15,K39,0)</f>
        <v>0</v>
      </c>
      <c r="AH39" s="15">
        <f>IF(AJ39=21,K39,0)</f>
        <v>0</v>
      </c>
      <c r="AJ39" s="30">
        <v>15</v>
      </c>
      <c r="AK39" s="30">
        <f>H39*0.0441509433962264</f>
        <v>0</v>
      </c>
      <c r="AL39" s="30">
        <f>H39*(1-0.0441509433962264)</f>
        <v>0</v>
      </c>
      <c r="AM39" s="25" t="s">
        <v>7</v>
      </c>
      <c r="AR39" s="30">
        <f>AS39+AT39</f>
        <v>0</v>
      </c>
      <c r="AS39" s="30">
        <f>G39*AK39</f>
        <v>0</v>
      </c>
      <c r="AT39" s="30">
        <f>G39*AL39</f>
        <v>0</v>
      </c>
      <c r="AU39" s="31" t="s">
        <v>166</v>
      </c>
      <c r="AV39" s="31" t="s">
        <v>174</v>
      </c>
      <c r="AW39" s="26" t="s">
        <v>175</v>
      </c>
      <c r="AY39" s="30">
        <f>AS39+AT39</f>
        <v>0</v>
      </c>
      <c r="AZ39" s="30">
        <f>H39/(100-BA39)*100</f>
        <v>0</v>
      </c>
      <c r="BA39" s="30">
        <v>0</v>
      </c>
      <c r="BB39" s="30">
        <f>38</f>
        <v>38</v>
      </c>
      <c r="BD39" s="15">
        <f>G39*AK39</f>
        <v>0</v>
      </c>
      <c r="BE39" s="15">
        <f>G39*AL39</f>
        <v>0</v>
      </c>
      <c r="BF39" s="15">
        <f>G39*H39</f>
        <v>0</v>
      </c>
    </row>
    <row r="40" spans="1:58" ht="12.75">
      <c r="A40" s="4" t="s">
        <v>25</v>
      </c>
      <c r="B40" s="4" t="s">
        <v>65</v>
      </c>
      <c r="C40" s="103" t="s">
        <v>108</v>
      </c>
      <c r="D40" s="104"/>
      <c r="E40" s="104"/>
      <c r="F40" s="4" t="s">
        <v>129</v>
      </c>
      <c r="G40" s="15">
        <v>0</v>
      </c>
      <c r="H40" s="15"/>
      <c r="I40" s="15">
        <f>G40*AK40</f>
        <v>0</v>
      </c>
      <c r="J40" s="15">
        <f>G40*AL40</f>
        <v>0</v>
      </c>
      <c r="K40" s="15">
        <f>G40*H40</f>
        <v>0</v>
      </c>
      <c r="L40" s="25" t="s">
        <v>148</v>
      </c>
      <c r="V40" s="30">
        <f>IF(AM40="5",BF40,0)</f>
        <v>0</v>
      </c>
      <c r="X40" s="30">
        <f>IF(AM40="1",BD40,0)</f>
        <v>0</v>
      </c>
      <c r="Y40" s="30">
        <f>IF(AM40="1",BE40,0)</f>
        <v>0</v>
      </c>
      <c r="Z40" s="30">
        <f>IF(AM40="7",BD40,0)</f>
        <v>0</v>
      </c>
      <c r="AA40" s="30">
        <f>IF(AM40="7",BE40,0)</f>
        <v>0</v>
      </c>
      <c r="AB40" s="30">
        <f>IF(AM40="2",BD40,0)</f>
        <v>0</v>
      </c>
      <c r="AC40" s="30">
        <f>IF(AM40="2",BE40,0)</f>
        <v>0</v>
      </c>
      <c r="AD40" s="30">
        <f>IF(AM40="0",BF40,0)</f>
        <v>0</v>
      </c>
      <c r="AE40" s="26"/>
      <c r="AF40" s="15">
        <f>IF(AJ40=0,K40,0)</f>
        <v>0</v>
      </c>
      <c r="AG40" s="15">
        <f>IF(AJ40=15,K40,0)</f>
        <v>0</v>
      </c>
      <c r="AH40" s="15">
        <f>IF(AJ40=21,K40,0)</f>
        <v>0</v>
      </c>
      <c r="AJ40" s="30">
        <v>15</v>
      </c>
      <c r="AK40" s="30">
        <f>H40*0</f>
        <v>0</v>
      </c>
      <c r="AL40" s="30">
        <f>H40*(1-0)</f>
        <v>0</v>
      </c>
      <c r="AM40" s="25" t="s">
        <v>7</v>
      </c>
      <c r="AR40" s="30">
        <f>AS40+AT40</f>
        <v>0</v>
      </c>
      <c r="AS40" s="30">
        <f>G40*AK40</f>
        <v>0</v>
      </c>
      <c r="AT40" s="30">
        <f>G40*AL40</f>
        <v>0</v>
      </c>
      <c r="AU40" s="31" t="s">
        <v>166</v>
      </c>
      <c r="AV40" s="31" t="s">
        <v>174</v>
      </c>
      <c r="AW40" s="26" t="s">
        <v>175</v>
      </c>
      <c r="AY40" s="30">
        <f>AS40+AT40</f>
        <v>0</v>
      </c>
      <c r="AZ40" s="30">
        <f>H40/(100-BA40)*100</f>
        <v>0</v>
      </c>
      <c r="BA40" s="30">
        <v>0</v>
      </c>
      <c r="BB40" s="30">
        <f>39</f>
        <v>39</v>
      </c>
      <c r="BD40" s="15">
        <f>G40*AK40</f>
        <v>0</v>
      </c>
      <c r="BE40" s="15">
        <f>G40*AL40</f>
        <v>0</v>
      </c>
      <c r="BF40" s="15">
        <f>G40*H40</f>
        <v>0</v>
      </c>
    </row>
    <row r="41" spans="1:58" ht="12.75">
      <c r="A41" s="4" t="s">
        <v>26</v>
      </c>
      <c r="B41" s="4" t="s">
        <v>66</v>
      </c>
      <c r="C41" s="103" t="s">
        <v>109</v>
      </c>
      <c r="D41" s="104"/>
      <c r="E41" s="104"/>
      <c r="F41" s="4" t="s">
        <v>132</v>
      </c>
      <c r="G41" s="15">
        <v>3</v>
      </c>
      <c r="H41" s="15"/>
      <c r="I41" s="15">
        <f>G41*AK41</f>
        <v>0</v>
      </c>
      <c r="J41" s="15">
        <f>G41*AL41</f>
        <v>0</v>
      </c>
      <c r="K41" s="15">
        <f>G41*H41</f>
        <v>0</v>
      </c>
      <c r="L41" s="25" t="s">
        <v>148</v>
      </c>
      <c r="V41" s="30">
        <f>IF(AM41="5",BF41,0)</f>
        <v>0</v>
      </c>
      <c r="X41" s="30">
        <f>IF(AM41="1",BD41,0)</f>
        <v>0</v>
      </c>
      <c r="Y41" s="30">
        <f>IF(AM41="1",BE41,0)</f>
        <v>0</v>
      </c>
      <c r="Z41" s="30">
        <f>IF(AM41="7",BD41,0)</f>
        <v>0</v>
      </c>
      <c r="AA41" s="30">
        <f>IF(AM41="7",BE41,0)</f>
        <v>0</v>
      </c>
      <c r="AB41" s="30">
        <f>IF(AM41="2",BD41,0)</f>
        <v>0</v>
      </c>
      <c r="AC41" s="30">
        <f>IF(AM41="2",BE41,0)</f>
        <v>0</v>
      </c>
      <c r="AD41" s="30">
        <f>IF(AM41="0",BF41,0)</f>
        <v>0</v>
      </c>
      <c r="AE41" s="26"/>
      <c r="AF41" s="15">
        <f>IF(AJ41=0,K41,0)</f>
        <v>0</v>
      </c>
      <c r="AG41" s="15">
        <f>IF(AJ41=15,K41,0)</f>
        <v>0</v>
      </c>
      <c r="AH41" s="15">
        <f>IF(AJ41=21,K41,0)</f>
        <v>0</v>
      </c>
      <c r="AJ41" s="30">
        <v>15</v>
      </c>
      <c r="AK41" s="30">
        <f>H41*0</f>
        <v>0</v>
      </c>
      <c r="AL41" s="30">
        <f>H41*(1-0)</f>
        <v>0</v>
      </c>
      <c r="AM41" s="25" t="s">
        <v>7</v>
      </c>
      <c r="AR41" s="30">
        <f>AS41+AT41</f>
        <v>0</v>
      </c>
      <c r="AS41" s="30">
        <f>G41*AK41</f>
        <v>0</v>
      </c>
      <c r="AT41" s="30">
        <f>G41*AL41</f>
        <v>0</v>
      </c>
      <c r="AU41" s="31" t="s">
        <v>166</v>
      </c>
      <c r="AV41" s="31" t="s">
        <v>174</v>
      </c>
      <c r="AW41" s="26" t="s">
        <v>175</v>
      </c>
      <c r="AY41" s="30">
        <f>AS41+AT41</f>
        <v>0</v>
      </c>
      <c r="AZ41" s="30">
        <f>H41/(100-BA41)*100</f>
        <v>0</v>
      </c>
      <c r="BA41" s="30">
        <v>0</v>
      </c>
      <c r="BB41" s="30">
        <f>40</f>
        <v>40</v>
      </c>
      <c r="BD41" s="15">
        <f>G41*AK41</f>
        <v>0</v>
      </c>
      <c r="BE41" s="15">
        <f>G41*AL41</f>
        <v>0</v>
      </c>
      <c r="BF41" s="15">
        <f>G41*H41</f>
        <v>0</v>
      </c>
    </row>
    <row r="42" spans="1:58" ht="12.75">
      <c r="A42" s="4" t="s">
        <v>27</v>
      </c>
      <c r="B42" s="4" t="s">
        <v>67</v>
      </c>
      <c r="C42" s="103" t="s">
        <v>110</v>
      </c>
      <c r="D42" s="104"/>
      <c r="E42" s="104"/>
      <c r="F42" s="4" t="s">
        <v>129</v>
      </c>
      <c r="G42" s="15">
        <v>180</v>
      </c>
      <c r="H42" s="15"/>
      <c r="I42" s="15">
        <f>G42*AK42</f>
        <v>0</v>
      </c>
      <c r="J42" s="15">
        <f>G42*AL42</f>
        <v>0</v>
      </c>
      <c r="K42" s="15">
        <f>G42*H42</f>
        <v>0</v>
      </c>
      <c r="L42" s="25" t="s">
        <v>148</v>
      </c>
      <c r="V42" s="30">
        <f>IF(AM42="5",BF42,0)</f>
        <v>0</v>
      </c>
      <c r="X42" s="30">
        <f>IF(AM42="1",BD42,0)</f>
        <v>0</v>
      </c>
      <c r="Y42" s="30">
        <f>IF(AM42="1",BE42,0)</f>
        <v>0</v>
      </c>
      <c r="Z42" s="30">
        <f>IF(AM42="7",BD42,0)</f>
        <v>0</v>
      </c>
      <c r="AA42" s="30">
        <f>IF(AM42="7",BE42,0)</f>
        <v>0</v>
      </c>
      <c r="AB42" s="30">
        <f>IF(AM42="2",BD42,0)</f>
        <v>0</v>
      </c>
      <c r="AC42" s="30">
        <f>IF(AM42="2",BE42,0)</f>
        <v>0</v>
      </c>
      <c r="AD42" s="30">
        <f>IF(AM42="0",BF42,0)</f>
        <v>0</v>
      </c>
      <c r="AE42" s="26"/>
      <c r="AF42" s="15">
        <f>IF(AJ42=0,K42,0)</f>
        <v>0</v>
      </c>
      <c r="AG42" s="15">
        <f>IF(AJ42=15,K42,0)</f>
        <v>0</v>
      </c>
      <c r="AH42" s="15">
        <f>IF(AJ42=21,K42,0)</f>
        <v>0</v>
      </c>
      <c r="AJ42" s="30">
        <v>15</v>
      </c>
      <c r="AK42" s="30">
        <f>H42*0</f>
        <v>0</v>
      </c>
      <c r="AL42" s="30">
        <f>H42*(1-0)</f>
        <v>0</v>
      </c>
      <c r="AM42" s="25" t="s">
        <v>7</v>
      </c>
      <c r="AR42" s="30">
        <f>AS42+AT42</f>
        <v>0</v>
      </c>
      <c r="AS42" s="30">
        <f>G42*AK42</f>
        <v>0</v>
      </c>
      <c r="AT42" s="30">
        <f>G42*AL42</f>
        <v>0</v>
      </c>
      <c r="AU42" s="31" t="s">
        <v>166</v>
      </c>
      <c r="AV42" s="31" t="s">
        <v>174</v>
      </c>
      <c r="AW42" s="26" t="s">
        <v>175</v>
      </c>
      <c r="AY42" s="30">
        <f>AS42+AT42</f>
        <v>0</v>
      </c>
      <c r="AZ42" s="30">
        <f>H42/(100-BA42)*100</f>
        <v>0</v>
      </c>
      <c r="BA42" s="30">
        <v>0</v>
      </c>
      <c r="BB42" s="30">
        <f>41</f>
        <v>41</v>
      </c>
      <c r="BD42" s="15">
        <f>G42*AK42</f>
        <v>0</v>
      </c>
      <c r="BE42" s="15">
        <f>G42*AL42</f>
        <v>0</v>
      </c>
      <c r="BF42" s="15">
        <f>G42*H42</f>
        <v>0</v>
      </c>
    </row>
    <row r="43" spans="1:43" ht="12.75">
      <c r="A43" s="5"/>
      <c r="B43" s="12" t="s">
        <v>68</v>
      </c>
      <c r="C43" s="105" t="s">
        <v>111</v>
      </c>
      <c r="D43" s="106"/>
      <c r="E43" s="106"/>
      <c r="F43" s="5" t="s">
        <v>6</v>
      </c>
      <c r="G43" s="5" t="s">
        <v>6</v>
      </c>
      <c r="H43" s="5"/>
      <c r="I43" s="33">
        <f>SUM(I44:I44)</f>
        <v>0</v>
      </c>
      <c r="J43" s="33">
        <f>SUM(J44:J44)</f>
        <v>0</v>
      </c>
      <c r="K43" s="33">
        <f>SUM(K44:K44)</f>
        <v>0</v>
      </c>
      <c r="L43" s="26"/>
      <c r="AE43" s="26"/>
      <c r="AO43" s="33">
        <f>SUM(AF44:AF44)</f>
        <v>0</v>
      </c>
      <c r="AP43" s="33">
        <f>SUM(AG44:AG44)</f>
        <v>0</v>
      </c>
      <c r="AQ43" s="33">
        <f>SUM(AH44:AH44)</f>
        <v>0</v>
      </c>
    </row>
    <row r="44" spans="1:58" ht="12.75">
      <c r="A44" s="4" t="s">
        <v>28</v>
      </c>
      <c r="B44" s="4" t="s">
        <v>69</v>
      </c>
      <c r="C44" s="103" t="s">
        <v>244</v>
      </c>
      <c r="D44" s="104"/>
      <c r="E44" s="104"/>
      <c r="F44" s="4" t="s">
        <v>129</v>
      </c>
      <c r="G44" s="15">
        <v>0</v>
      </c>
      <c r="H44" s="15"/>
      <c r="I44" s="15">
        <f>G44*AK44</f>
        <v>0</v>
      </c>
      <c r="J44" s="15">
        <f>G44*AL44</f>
        <v>0</v>
      </c>
      <c r="K44" s="15">
        <f>G44*H44</f>
        <v>0</v>
      </c>
      <c r="L44" s="25" t="s">
        <v>148</v>
      </c>
      <c r="V44" s="30">
        <f>IF(AM44="5",BF44,0)</f>
        <v>0</v>
      </c>
      <c r="X44" s="30">
        <f>IF(AM44="1",BD44,0)</f>
        <v>0</v>
      </c>
      <c r="Y44" s="30">
        <f>IF(AM44="1",BE44,0)</f>
        <v>0</v>
      </c>
      <c r="Z44" s="30">
        <f>IF(AM44="7",BD44,0)</f>
        <v>0</v>
      </c>
      <c r="AA44" s="30">
        <f>IF(AM44="7",BE44,0)</f>
        <v>0</v>
      </c>
      <c r="AB44" s="30">
        <f>IF(AM44="2",BD44,0)</f>
        <v>0</v>
      </c>
      <c r="AC44" s="30">
        <f>IF(AM44="2",BE44,0)</f>
        <v>0</v>
      </c>
      <c r="AD44" s="30">
        <f>IF(AM44="0",BF44,0)</f>
        <v>0</v>
      </c>
      <c r="AE44" s="26"/>
      <c r="AF44" s="15">
        <f>IF(AJ44=0,K44,0)</f>
        <v>0</v>
      </c>
      <c r="AG44" s="15">
        <f>IF(AJ44=15,K44,0)</f>
        <v>0</v>
      </c>
      <c r="AH44" s="15">
        <f>IF(AJ44=21,K44,0)</f>
        <v>0</v>
      </c>
      <c r="AJ44" s="30">
        <v>15</v>
      </c>
      <c r="AK44" s="30">
        <f>H44*0</f>
        <v>0</v>
      </c>
      <c r="AL44" s="30">
        <f>H44*(1-0)</f>
        <v>0</v>
      </c>
      <c r="AM44" s="25" t="s">
        <v>8</v>
      </c>
      <c r="AR44" s="30">
        <f>AS44+AT44</f>
        <v>0</v>
      </c>
      <c r="AS44" s="30">
        <f>G44*AK44</f>
        <v>0</v>
      </c>
      <c r="AT44" s="30">
        <f>G44*AL44</f>
        <v>0</v>
      </c>
      <c r="AU44" s="31" t="s">
        <v>167</v>
      </c>
      <c r="AV44" s="31" t="s">
        <v>174</v>
      </c>
      <c r="AW44" s="26" t="s">
        <v>175</v>
      </c>
      <c r="AY44" s="30">
        <f>AS44+AT44</f>
        <v>0</v>
      </c>
      <c r="AZ44" s="30">
        <f>H44/(100-BA44)*100</f>
        <v>0</v>
      </c>
      <c r="BA44" s="30">
        <v>0</v>
      </c>
      <c r="BB44" s="30">
        <f>43</f>
        <v>43</v>
      </c>
      <c r="BD44" s="15">
        <f>G44*AK44</f>
        <v>0</v>
      </c>
      <c r="BE44" s="15">
        <f>G44*AL44</f>
        <v>0</v>
      </c>
      <c r="BF44" s="15">
        <f>G44*H44</f>
        <v>0</v>
      </c>
    </row>
    <row r="45" spans="1:43" ht="12.75">
      <c r="A45" s="5"/>
      <c r="B45" s="12" t="s">
        <v>70</v>
      </c>
      <c r="C45" s="105" t="s">
        <v>112</v>
      </c>
      <c r="D45" s="106"/>
      <c r="E45" s="106"/>
      <c r="F45" s="5" t="s">
        <v>6</v>
      </c>
      <c r="G45" s="5" t="s">
        <v>6</v>
      </c>
      <c r="H45" s="5"/>
      <c r="I45" s="33">
        <f>SUM(I46:I47)</f>
        <v>0</v>
      </c>
      <c r="J45" s="33">
        <f>SUM(J46:J47)</f>
        <v>0</v>
      </c>
      <c r="K45" s="33">
        <f>SUM(K46:K47)</f>
        <v>0</v>
      </c>
      <c r="L45" s="26"/>
      <c r="AE45" s="26"/>
      <c r="AO45" s="33">
        <f>SUM(AF46:AF47)</f>
        <v>0</v>
      </c>
      <c r="AP45" s="33">
        <f>SUM(AG46:AG47)</f>
        <v>0</v>
      </c>
      <c r="AQ45" s="33">
        <f>SUM(AH46:AH47)</f>
        <v>0</v>
      </c>
    </row>
    <row r="46" spans="1:58" ht="12.75">
      <c r="A46" s="4" t="s">
        <v>29</v>
      </c>
      <c r="B46" s="4" t="s">
        <v>71</v>
      </c>
      <c r="C46" s="103" t="s">
        <v>113</v>
      </c>
      <c r="D46" s="104"/>
      <c r="E46" s="104"/>
      <c r="F46" s="4" t="s">
        <v>130</v>
      </c>
      <c r="G46" s="15">
        <v>30</v>
      </c>
      <c r="H46" s="15"/>
      <c r="I46" s="15">
        <f>G46*AK46</f>
        <v>0</v>
      </c>
      <c r="J46" s="15">
        <f>G46*AL46</f>
        <v>0</v>
      </c>
      <c r="K46" s="15">
        <f>G46*H46</f>
        <v>0</v>
      </c>
      <c r="L46" s="25" t="s">
        <v>148</v>
      </c>
      <c r="V46" s="30">
        <f>IF(AM46="5",BF46,0)</f>
        <v>0</v>
      </c>
      <c r="X46" s="30">
        <f>IF(AM46="1",BD46,0)</f>
        <v>0</v>
      </c>
      <c r="Y46" s="30">
        <f>IF(AM46="1",BE46,0)</f>
        <v>0</v>
      </c>
      <c r="Z46" s="30">
        <f>IF(AM46="7",BD46,0)</f>
        <v>0</v>
      </c>
      <c r="AA46" s="30">
        <f>IF(AM46="7",BE46,0)</f>
        <v>0</v>
      </c>
      <c r="AB46" s="30">
        <f>IF(AM46="2",BD46,0)</f>
        <v>0</v>
      </c>
      <c r="AC46" s="30">
        <f>IF(AM46="2",BE46,0)</f>
        <v>0</v>
      </c>
      <c r="AD46" s="30">
        <f>IF(AM46="0",BF46,0)</f>
        <v>0</v>
      </c>
      <c r="AE46" s="26"/>
      <c r="AF46" s="15">
        <f>IF(AJ46=0,K46,0)</f>
        <v>0</v>
      </c>
      <c r="AG46" s="15">
        <f>IF(AJ46=15,K46,0)</f>
        <v>0</v>
      </c>
      <c r="AH46" s="15">
        <f>IF(AJ46=21,K46,0)</f>
        <v>0</v>
      </c>
      <c r="AJ46" s="30">
        <v>15</v>
      </c>
      <c r="AK46" s="30">
        <f>H46*0.0130416052009765</f>
        <v>0</v>
      </c>
      <c r="AL46" s="30">
        <f>H46*(1-0.0130416052009765)</f>
        <v>0</v>
      </c>
      <c r="AM46" s="25" t="s">
        <v>8</v>
      </c>
      <c r="AR46" s="30">
        <f>AS46+AT46</f>
        <v>0</v>
      </c>
      <c r="AS46" s="30">
        <f>G46*AK46</f>
        <v>0</v>
      </c>
      <c r="AT46" s="30">
        <f>G46*AL46</f>
        <v>0</v>
      </c>
      <c r="AU46" s="31" t="s">
        <v>168</v>
      </c>
      <c r="AV46" s="31" t="s">
        <v>174</v>
      </c>
      <c r="AW46" s="26" t="s">
        <v>175</v>
      </c>
      <c r="AY46" s="30">
        <f>AS46+AT46</f>
        <v>0</v>
      </c>
      <c r="AZ46" s="30">
        <f>H46/(100-BA46)*100</f>
        <v>0</v>
      </c>
      <c r="BA46" s="30">
        <v>0</v>
      </c>
      <c r="BB46" s="30">
        <f>45</f>
        <v>45</v>
      </c>
      <c r="BD46" s="15">
        <f>G46*AK46</f>
        <v>0</v>
      </c>
      <c r="BE46" s="15">
        <f>G46*AL46</f>
        <v>0</v>
      </c>
      <c r="BF46" s="15">
        <f>G46*H46</f>
        <v>0</v>
      </c>
    </row>
    <row r="47" spans="1:58" ht="12.75">
      <c r="A47" s="4" t="s">
        <v>30</v>
      </c>
      <c r="B47" s="4" t="s">
        <v>72</v>
      </c>
      <c r="C47" s="103" t="s">
        <v>114</v>
      </c>
      <c r="D47" s="104"/>
      <c r="E47" s="104"/>
      <c r="F47" s="4" t="s">
        <v>133</v>
      </c>
      <c r="G47" s="15">
        <v>3</v>
      </c>
      <c r="H47" s="15"/>
      <c r="I47" s="15">
        <f>G47*AK47</f>
        <v>0</v>
      </c>
      <c r="J47" s="15">
        <f>G47*AL47</f>
        <v>0</v>
      </c>
      <c r="K47" s="15">
        <f>G47*H47</f>
        <v>0</v>
      </c>
      <c r="L47" s="25" t="s">
        <v>148</v>
      </c>
      <c r="V47" s="30">
        <f>IF(AM47="5",BF47,0)</f>
        <v>0</v>
      </c>
      <c r="X47" s="30">
        <f>IF(AM47="1",BD47,0)</f>
        <v>0</v>
      </c>
      <c r="Y47" s="30">
        <f>IF(AM47="1",BE47,0)</f>
        <v>0</v>
      </c>
      <c r="Z47" s="30">
        <f>IF(AM47="7",BD47,0)</f>
        <v>0</v>
      </c>
      <c r="AA47" s="30">
        <f>IF(AM47="7",BE47,0)</f>
        <v>0</v>
      </c>
      <c r="AB47" s="30">
        <f>IF(AM47="2",BD47,0)</f>
        <v>0</v>
      </c>
      <c r="AC47" s="30">
        <f>IF(AM47="2",BE47,0)</f>
        <v>0</v>
      </c>
      <c r="AD47" s="30">
        <f>IF(AM47="0",BF47,0)</f>
        <v>0</v>
      </c>
      <c r="AE47" s="26"/>
      <c r="AF47" s="15">
        <f>IF(AJ47=0,K47,0)</f>
        <v>0</v>
      </c>
      <c r="AG47" s="15">
        <f>IF(AJ47=15,K47,0)</f>
        <v>0</v>
      </c>
      <c r="AH47" s="15">
        <f>IF(AJ47=21,K47,0)</f>
        <v>0</v>
      </c>
      <c r="AJ47" s="30">
        <v>15</v>
      </c>
      <c r="AK47" s="30">
        <f>H47*0</f>
        <v>0</v>
      </c>
      <c r="AL47" s="30">
        <f>H47*(1-0)</f>
        <v>0</v>
      </c>
      <c r="AM47" s="25" t="s">
        <v>11</v>
      </c>
      <c r="AR47" s="30">
        <f>AS47+AT47</f>
        <v>0</v>
      </c>
      <c r="AS47" s="30">
        <f>G47*AK47</f>
        <v>0</v>
      </c>
      <c r="AT47" s="30">
        <f>G47*AL47</f>
        <v>0</v>
      </c>
      <c r="AU47" s="31" t="s">
        <v>168</v>
      </c>
      <c r="AV47" s="31" t="s">
        <v>174</v>
      </c>
      <c r="AW47" s="26" t="s">
        <v>175</v>
      </c>
      <c r="AY47" s="30">
        <f>AS47+AT47</f>
        <v>0</v>
      </c>
      <c r="AZ47" s="30">
        <f>H47/(100-BA47)*100</f>
        <v>0</v>
      </c>
      <c r="BA47" s="30">
        <v>0</v>
      </c>
      <c r="BB47" s="30">
        <f>46</f>
        <v>46</v>
      </c>
      <c r="BD47" s="15">
        <f>G47*AK47</f>
        <v>0</v>
      </c>
      <c r="BE47" s="15">
        <f>G47*AL47</f>
        <v>0</v>
      </c>
      <c r="BF47" s="15">
        <f>G47*H47</f>
        <v>0</v>
      </c>
    </row>
    <row r="48" spans="1:43" ht="12.75">
      <c r="A48" s="5"/>
      <c r="B48" s="12" t="s">
        <v>73</v>
      </c>
      <c r="C48" s="105" t="s">
        <v>115</v>
      </c>
      <c r="D48" s="106"/>
      <c r="E48" s="106"/>
      <c r="F48" s="5" t="s">
        <v>6</v>
      </c>
      <c r="G48" s="5" t="s">
        <v>6</v>
      </c>
      <c r="H48" s="5"/>
      <c r="I48" s="33">
        <f>SUM(I49:I53)</f>
        <v>0</v>
      </c>
      <c r="J48" s="33">
        <f>SUM(J49:J53)</f>
        <v>0</v>
      </c>
      <c r="K48" s="33">
        <f>SUM(K49:K53)</f>
        <v>0</v>
      </c>
      <c r="L48" s="26"/>
      <c r="AE48" s="26"/>
      <c r="AO48" s="33">
        <f>SUM(AF49:AF53)</f>
        <v>0</v>
      </c>
      <c r="AP48" s="33">
        <f>SUM(AG49:AG53)</f>
        <v>0</v>
      </c>
      <c r="AQ48" s="33">
        <f>SUM(AH49:AH53)</f>
        <v>0</v>
      </c>
    </row>
    <row r="49" spans="1:58" ht="12.75">
      <c r="A49" s="4" t="s">
        <v>31</v>
      </c>
      <c r="B49" s="4" t="s">
        <v>74</v>
      </c>
      <c r="C49" s="103" t="s">
        <v>116</v>
      </c>
      <c r="D49" s="104"/>
      <c r="E49" s="104"/>
      <c r="F49" s="4" t="s">
        <v>133</v>
      </c>
      <c r="G49" s="15">
        <v>3</v>
      </c>
      <c r="H49" s="15"/>
      <c r="I49" s="15">
        <f>G49*AK49</f>
        <v>0</v>
      </c>
      <c r="J49" s="15">
        <f>G49*AL49</f>
        <v>0</v>
      </c>
      <c r="K49" s="15">
        <f>G49*H49</f>
        <v>0</v>
      </c>
      <c r="L49" s="25" t="s">
        <v>148</v>
      </c>
      <c r="V49" s="30">
        <f>IF(AM49="5",BF49,0)</f>
        <v>0</v>
      </c>
      <c r="X49" s="30">
        <f>IF(AM49="1",BD49,0)</f>
        <v>0</v>
      </c>
      <c r="Y49" s="30">
        <f>IF(AM49="1",BE49,0)</f>
        <v>0</v>
      </c>
      <c r="Z49" s="30">
        <f>IF(AM49="7",BD49,0)</f>
        <v>0</v>
      </c>
      <c r="AA49" s="30">
        <f>IF(AM49="7",BE49,0)</f>
        <v>0</v>
      </c>
      <c r="AB49" s="30">
        <f>IF(AM49="2",BD49,0)</f>
        <v>0</v>
      </c>
      <c r="AC49" s="30">
        <f>IF(AM49="2",BE49,0)</f>
        <v>0</v>
      </c>
      <c r="AD49" s="30">
        <f>IF(AM49="0",BF49,0)</f>
        <v>0</v>
      </c>
      <c r="AE49" s="26"/>
      <c r="AF49" s="15">
        <f>IF(AJ49=0,K49,0)</f>
        <v>0</v>
      </c>
      <c r="AG49" s="15">
        <f>IF(AJ49=15,K49,0)</f>
        <v>0</v>
      </c>
      <c r="AH49" s="15">
        <f>IF(AJ49=21,K49,0)</f>
        <v>0</v>
      </c>
      <c r="AJ49" s="30">
        <v>15</v>
      </c>
      <c r="AK49" s="30">
        <f>H49*0</f>
        <v>0</v>
      </c>
      <c r="AL49" s="30">
        <f>H49*(1-0)</f>
        <v>0</v>
      </c>
      <c r="AM49" s="25" t="s">
        <v>11</v>
      </c>
      <c r="AR49" s="30">
        <f>AS49+AT49</f>
        <v>0</v>
      </c>
      <c r="AS49" s="30">
        <f>G49*AK49</f>
        <v>0</v>
      </c>
      <c r="AT49" s="30">
        <f>G49*AL49</f>
        <v>0</v>
      </c>
      <c r="AU49" s="31" t="s">
        <v>169</v>
      </c>
      <c r="AV49" s="31" t="s">
        <v>174</v>
      </c>
      <c r="AW49" s="26" t="s">
        <v>175</v>
      </c>
      <c r="AY49" s="30">
        <f>AS49+AT49</f>
        <v>0</v>
      </c>
      <c r="AZ49" s="30">
        <f>H49/(100-BA49)*100</f>
        <v>0</v>
      </c>
      <c r="BA49" s="30">
        <v>0</v>
      </c>
      <c r="BB49" s="30">
        <f>48</f>
        <v>48</v>
      </c>
      <c r="BD49" s="15">
        <f>G49*AK49</f>
        <v>0</v>
      </c>
      <c r="BE49" s="15">
        <f>G49*AL49</f>
        <v>0</v>
      </c>
      <c r="BF49" s="15">
        <f>G49*H49</f>
        <v>0</v>
      </c>
    </row>
    <row r="50" spans="1:58" ht="12.75">
      <c r="A50" s="4" t="s">
        <v>32</v>
      </c>
      <c r="B50" s="4" t="s">
        <v>75</v>
      </c>
      <c r="C50" s="103" t="s">
        <v>117</v>
      </c>
      <c r="D50" s="104"/>
      <c r="E50" s="104"/>
      <c r="F50" s="4" t="s">
        <v>133</v>
      </c>
      <c r="G50" s="15">
        <v>3</v>
      </c>
      <c r="H50" s="15"/>
      <c r="I50" s="15">
        <f>G50*AK50</f>
        <v>0</v>
      </c>
      <c r="J50" s="15">
        <f>G50*AL50</f>
        <v>0</v>
      </c>
      <c r="K50" s="15">
        <f>G50*H50</f>
        <v>0</v>
      </c>
      <c r="L50" s="25" t="s">
        <v>148</v>
      </c>
      <c r="V50" s="30">
        <f>IF(AM50="5",BF50,0)</f>
        <v>0</v>
      </c>
      <c r="X50" s="30">
        <f>IF(AM50="1",BD50,0)</f>
        <v>0</v>
      </c>
      <c r="Y50" s="30">
        <f>IF(AM50="1",BE50,0)</f>
        <v>0</v>
      </c>
      <c r="Z50" s="30">
        <f>IF(AM50="7",BD50,0)</f>
        <v>0</v>
      </c>
      <c r="AA50" s="30">
        <f>IF(AM50="7",BE50,0)</f>
        <v>0</v>
      </c>
      <c r="AB50" s="30">
        <f>IF(AM50="2",BD50,0)</f>
        <v>0</v>
      </c>
      <c r="AC50" s="30">
        <f>IF(AM50="2",BE50,0)</f>
        <v>0</v>
      </c>
      <c r="AD50" s="30">
        <f>IF(AM50="0",BF50,0)</f>
        <v>0</v>
      </c>
      <c r="AE50" s="26"/>
      <c r="AF50" s="15">
        <f>IF(AJ50=0,K50,0)</f>
        <v>0</v>
      </c>
      <c r="AG50" s="15">
        <f>IF(AJ50=15,K50,0)</f>
        <v>0</v>
      </c>
      <c r="AH50" s="15">
        <f>IF(AJ50=21,K50,0)</f>
        <v>0</v>
      </c>
      <c r="AJ50" s="30">
        <v>15</v>
      </c>
      <c r="AK50" s="30">
        <f>H50*0</f>
        <v>0</v>
      </c>
      <c r="AL50" s="30">
        <f>H50*(1-0)</f>
        <v>0</v>
      </c>
      <c r="AM50" s="25" t="s">
        <v>11</v>
      </c>
      <c r="AR50" s="30">
        <f>AS50+AT50</f>
        <v>0</v>
      </c>
      <c r="AS50" s="30">
        <f>G50*AK50</f>
        <v>0</v>
      </c>
      <c r="AT50" s="30">
        <f>G50*AL50</f>
        <v>0</v>
      </c>
      <c r="AU50" s="31" t="s">
        <v>169</v>
      </c>
      <c r="AV50" s="31" t="s">
        <v>174</v>
      </c>
      <c r="AW50" s="26" t="s">
        <v>175</v>
      </c>
      <c r="AY50" s="30">
        <f>AS50+AT50</f>
        <v>0</v>
      </c>
      <c r="AZ50" s="30">
        <f>H50/(100-BA50)*100</f>
        <v>0</v>
      </c>
      <c r="BA50" s="30">
        <v>0</v>
      </c>
      <c r="BB50" s="30">
        <f>49</f>
        <v>49</v>
      </c>
      <c r="BD50" s="15">
        <f>G50*AK50</f>
        <v>0</v>
      </c>
      <c r="BE50" s="15">
        <f>G50*AL50</f>
        <v>0</v>
      </c>
      <c r="BF50" s="15">
        <f>G50*H50</f>
        <v>0</v>
      </c>
    </row>
    <row r="51" spans="1:58" ht="12.75">
      <c r="A51" s="4" t="s">
        <v>33</v>
      </c>
      <c r="B51" s="4" t="s">
        <v>76</v>
      </c>
      <c r="C51" s="103" t="s">
        <v>118</v>
      </c>
      <c r="D51" s="104"/>
      <c r="E51" s="104"/>
      <c r="F51" s="4" t="s">
        <v>133</v>
      </c>
      <c r="G51" s="15">
        <v>3</v>
      </c>
      <c r="H51" s="15"/>
      <c r="I51" s="15">
        <f>G51*AK51</f>
        <v>0</v>
      </c>
      <c r="J51" s="15">
        <f>G51*AL51</f>
        <v>0</v>
      </c>
      <c r="K51" s="15">
        <f>G51*H51</f>
        <v>0</v>
      </c>
      <c r="L51" s="25" t="s">
        <v>148</v>
      </c>
      <c r="V51" s="30">
        <f>IF(AM51="5",BF51,0)</f>
        <v>0</v>
      </c>
      <c r="X51" s="30">
        <f>IF(AM51="1",BD51,0)</f>
        <v>0</v>
      </c>
      <c r="Y51" s="30">
        <f>IF(AM51="1",BE51,0)</f>
        <v>0</v>
      </c>
      <c r="Z51" s="30">
        <f>IF(AM51="7",BD51,0)</f>
        <v>0</v>
      </c>
      <c r="AA51" s="30">
        <f>IF(AM51="7",BE51,0)</f>
        <v>0</v>
      </c>
      <c r="AB51" s="30">
        <f>IF(AM51="2",BD51,0)</f>
        <v>0</v>
      </c>
      <c r="AC51" s="30">
        <f>IF(AM51="2",BE51,0)</f>
        <v>0</v>
      </c>
      <c r="AD51" s="30">
        <f>IF(AM51="0",BF51,0)</f>
        <v>0</v>
      </c>
      <c r="AE51" s="26"/>
      <c r="AF51" s="15">
        <f>IF(AJ51=0,K51,0)</f>
        <v>0</v>
      </c>
      <c r="AG51" s="15">
        <f>IF(AJ51=15,K51,0)</f>
        <v>0</v>
      </c>
      <c r="AH51" s="15">
        <f>IF(AJ51=21,K51,0)</f>
        <v>0</v>
      </c>
      <c r="AJ51" s="30">
        <v>15</v>
      </c>
      <c r="AK51" s="30">
        <f>H51*0</f>
        <v>0</v>
      </c>
      <c r="AL51" s="30">
        <f>H51*(1-0)</f>
        <v>0</v>
      </c>
      <c r="AM51" s="25" t="s">
        <v>11</v>
      </c>
      <c r="AR51" s="30">
        <f>AS51+AT51</f>
        <v>0</v>
      </c>
      <c r="AS51" s="30">
        <f>G51*AK51</f>
        <v>0</v>
      </c>
      <c r="AT51" s="30">
        <f>G51*AL51</f>
        <v>0</v>
      </c>
      <c r="AU51" s="31" t="s">
        <v>169</v>
      </c>
      <c r="AV51" s="31" t="s">
        <v>174</v>
      </c>
      <c r="AW51" s="26" t="s">
        <v>175</v>
      </c>
      <c r="AY51" s="30">
        <f>AS51+AT51</f>
        <v>0</v>
      </c>
      <c r="AZ51" s="30">
        <f>H51/(100-BA51)*100</f>
        <v>0</v>
      </c>
      <c r="BA51" s="30">
        <v>0</v>
      </c>
      <c r="BB51" s="30">
        <f>50</f>
        <v>50</v>
      </c>
      <c r="BD51" s="15">
        <f>G51*AK51</f>
        <v>0</v>
      </c>
      <c r="BE51" s="15">
        <f>G51*AL51</f>
        <v>0</v>
      </c>
      <c r="BF51" s="15">
        <f>G51*H51</f>
        <v>0</v>
      </c>
    </row>
    <row r="52" spans="1:58" ht="12.75">
      <c r="A52" s="4" t="s">
        <v>34</v>
      </c>
      <c r="B52" s="4" t="s">
        <v>77</v>
      </c>
      <c r="C52" s="103" t="s">
        <v>119</v>
      </c>
      <c r="D52" s="104"/>
      <c r="E52" s="104"/>
      <c r="F52" s="4" t="s">
        <v>133</v>
      </c>
      <c r="G52" s="15">
        <v>3</v>
      </c>
      <c r="H52" s="15"/>
      <c r="I52" s="15">
        <f>G52*AK52</f>
        <v>0</v>
      </c>
      <c r="J52" s="15">
        <f>G52*AL52</f>
        <v>0</v>
      </c>
      <c r="K52" s="15">
        <f>G52*H52</f>
        <v>0</v>
      </c>
      <c r="L52" s="25" t="s">
        <v>148</v>
      </c>
      <c r="V52" s="30">
        <f>IF(AM52="5",BF52,0)</f>
        <v>0</v>
      </c>
      <c r="X52" s="30">
        <f>IF(AM52="1",BD52,0)</f>
        <v>0</v>
      </c>
      <c r="Y52" s="30">
        <f>IF(AM52="1",BE52,0)</f>
        <v>0</v>
      </c>
      <c r="Z52" s="30">
        <f>IF(AM52="7",BD52,0)</f>
        <v>0</v>
      </c>
      <c r="AA52" s="30">
        <f>IF(AM52="7",BE52,0)</f>
        <v>0</v>
      </c>
      <c r="AB52" s="30">
        <f>IF(AM52="2",BD52,0)</f>
        <v>0</v>
      </c>
      <c r="AC52" s="30">
        <f>IF(AM52="2",BE52,0)</f>
        <v>0</v>
      </c>
      <c r="AD52" s="30">
        <f>IF(AM52="0",BF52,0)</f>
        <v>0</v>
      </c>
      <c r="AE52" s="26"/>
      <c r="AF52" s="15">
        <f>IF(AJ52=0,K52,0)</f>
        <v>0</v>
      </c>
      <c r="AG52" s="15">
        <f>IF(AJ52=15,K52,0)</f>
        <v>0</v>
      </c>
      <c r="AH52" s="15">
        <f>IF(AJ52=21,K52,0)</f>
        <v>0</v>
      </c>
      <c r="AJ52" s="30">
        <v>15</v>
      </c>
      <c r="AK52" s="30">
        <f>H52*0</f>
        <v>0</v>
      </c>
      <c r="AL52" s="30">
        <f>H52*(1-0)</f>
        <v>0</v>
      </c>
      <c r="AM52" s="25" t="s">
        <v>11</v>
      </c>
      <c r="AR52" s="30">
        <f>AS52+AT52</f>
        <v>0</v>
      </c>
      <c r="AS52" s="30">
        <f>G52*AK52</f>
        <v>0</v>
      </c>
      <c r="AT52" s="30">
        <f>G52*AL52</f>
        <v>0</v>
      </c>
      <c r="AU52" s="31" t="s">
        <v>169</v>
      </c>
      <c r="AV52" s="31" t="s">
        <v>174</v>
      </c>
      <c r="AW52" s="26" t="s">
        <v>175</v>
      </c>
      <c r="AY52" s="30">
        <f>AS52+AT52</f>
        <v>0</v>
      </c>
      <c r="AZ52" s="30">
        <f>H52/(100-BA52)*100</f>
        <v>0</v>
      </c>
      <c r="BA52" s="30">
        <v>0</v>
      </c>
      <c r="BB52" s="30">
        <f>51</f>
        <v>51</v>
      </c>
      <c r="BD52" s="15">
        <f>G52*AK52</f>
        <v>0</v>
      </c>
      <c r="BE52" s="15">
        <f>G52*AL52</f>
        <v>0</v>
      </c>
      <c r="BF52" s="15">
        <f>G52*H52</f>
        <v>0</v>
      </c>
    </row>
    <row r="53" spans="1:58" ht="12.75">
      <c r="A53" s="6" t="s">
        <v>35</v>
      </c>
      <c r="B53" s="6" t="s">
        <v>78</v>
      </c>
      <c r="C53" s="107" t="s">
        <v>120</v>
      </c>
      <c r="D53" s="108"/>
      <c r="E53" s="108"/>
      <c r="F53" s="6" t="s">
        <v>133</v>
      </c>
      <c r="G53" s="16">
        <v>3</v>
      </c>
      <c r="H53" s="16"/>
      <c r="I53" s="16">
        <f>G53*AK53</f>
        <v>0</v>
      </c>
      <c r="J53" s="16">
        <f>G53*AL53</f>
        <v>0</v>
      </c>
      <c r="K53" s="16">
        <f>G53*H53</f>
        <v>0</v>
      </c>
      <c r="L53" s="27" t="s">
        <v>148</v>
      </c>
      <c r="V53" s="30">
        <f>IF(AM53="5",BF53,0)</f>
        <v>0</v>
      </c>
      <c r="X53" s="30">
        <f>IF(AM53="1",BD53,0)</f>
        <v>0</v>
      </c>
      <c r="Y53" s="30">
        <f>IF(AM53="1",BE53,0)</f>
        <v>0</v>
      </c>
      <c r="Z53" s="30">
        <f>IF(AM53="7",BD53,0)</f>
        <v>0</v>
      </c>
      <c r="AA53" s="30">
        <f>IF(AM53="7",BE53,0)</f>
        <v>0</v>
      </c>
      <c r="AB53" s="30">
        <f>IF(AM53="2",BD53,0)</f>
        <v>0</v>
      </c>
      <c r="AC53" s="30">
        <f>IF(AM53="2",BE53,0)</f>
        <v>0</v>
      </c>
      <c r="AD53" s="30">
        <f>IF(AM53="0",BF53,0)</f>
        <v>0</v>
      </c>
      <c r="AE53" s="26"/>
      <c r="AF53" s="15">
        <f>IF(AJ53=0,K53,0)</f>
        <v>0</v>
      </c>
      <c r="AG53" s="15">
        <f>IF(AJ53=15,K53,0)</f>
        <v>0</v>
      </c>
      <c r="AH53" s="15">
        <f>IF(AJ53=21,K53,0)</f>
        <v>0</v>
      </c>
      <c r="AJ53" s="30">
        <v>15</v>
      </c>
      <c r="AK53" s="30">
        <f>H53*0</f>
        <v>0</v>
      </c>
      <c r="AL53" s="30">
        <f>H53*(1-0)</f>
        <v>0</v>
      </c>
      <c r="AM53" s="25" t="s">
        <v>11</v>
      </c>
      <c r="AR53" s="30">
        <f>AS53+AT53</f>
        <v>0</v>
      </c>
      <c r="AS53" s="30">
        <f>G53*AK53</f>
        <v>0</v>
      </c>
      <c r="AT53" s="30">
        <f>G53*AL53</f>
        <v>0</v>
      </c>
      <c r="AU53" s="31" t="s">
        <v>169</v>
      </c>
      <c r="AV53" s="31" t="s">
        <v>174</v>
      </c>
      <c r="AW53" s="26" t="s">
        <v>175</v>
      </c>
      <c r="AY53" s="30">
        <f>AS53+AT53</f>
        <v>0</v>
      </c>
      <c r="AZ53" s="30">
        <f>H53/(100-BA53)*100</f>
        <v>0</v>
      </c>
      <c r="BA53" s="30">
        <v>0</v>
      </c>
      <c r="BB53" s="30">
        <f>52</f>
        <v>52</v>
      </c>
      <c r="BD53" s="15">
        <f>G53*AK53</f>
        <v>0</v>
      </c>
      <c r="BE53" s="15">
        <f>G53*AL53</f>
        <v>0</v>
      </c>
      <c r="BF53" s="15">
        <f>G53*H53</f>
        <v>0</v>
      </c>
    </row>
    <row r="54" spans="1:12" ht="12.75">
      <c r="A54" s="7"/>
      <c r="B54" s="7"/>
      <c r="C54" s="7"/>
      <c r="D54" s="7"/>
      <c r="E54" s="7"/>
      <c r="F54" s="7"/>
      <c r="G54" s="7"/>
      <c r="H54" s="7"/>
      <c r="I54" s="109" t="s">
        <v>143</v>
      </c>
      <c r="J54" s="110"/>
      <c r="K54" s="34">
        <f>K12+K15+K17+K27+K29+K31+K34+K36+K38+K43+K45+K48</f>
        <v>0</v>
      </c>
      <c r="L54" s="7"/>
    </row>
    <row r="55" ht="11.25" customHeight="1">
      <c r="A55" s="8" t="s">
        <v>36</v>
      </c>
    </row>
    <row r="56" spans="1:12" ht="12.75">
      <c r="A56" s="8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</sheetData>
  <sheetProtection/>
  <mergeCells count="71">
    <mergeCell ref="C52:E52"/>
    <mergeCell ref="C53:E53"/>
    <mergeCell ref="I54:J54"/>
    <mergeCell ref="A56:L56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21:E21"/>
    <mergeCell ref="C22:E22"/>
    <mergeCell ref="C23:E23"/>
    <mergeCell ref="C24:E24"/>
    <mergeCell ref="C25:E25"/>
    <mergeCell ref="C27:E27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22" sqref="F22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2" t="s">
        <v>179</v>
      </c>
      <c r="B1" s="73"/>
      <c r="C1" s="73"/>
      <c r="D1" s="73"/>
      <c r="E1" s="73"/>
      <c r="F1" s="73"/>
      <c r="G1" s="73"/>
    </row>
    <row r="2" spans="1:8" ht="12.75">
      <c r="A2" s="74" t="s">
        <v>1</v>
      </c>
      <c r="B2" s="78" t="str">
        <f>'Stavební rozpočet'!C2</f>
        <v>xxxxxx</v>
      </c>
      <c r="C2" s="110"/>
      <c r="D2" s="81" t="s">
        <v>135</v>
      </c>
      <c r="E2" s="81">
        <f>'Stavební rozpočet'!I2</f>
        <v>0</v>
      </c>
      <c r="F2" s="75"/>
      <c r="G2" s="83"/>
      <c r="H2" s="28"/>
    </row>
    <row r="3" spans="1:8" ht="12.75">
      <c r="A3" s="76"/>
      <c r="B3" s="79"/>
      <c r="C3" s="79"/>
      <c r="D3" s="77"/>
      <c r="E3" s="77"/>
      <c r="F3" s="77"/>
      <c r="G3" s="84"/>
      <c r="H3" s="28"/>
    </row>
    <row r="4" spans="1:8" ht="12.75">
      <c r="A4" s="85" t="s">
        <v>2</v>
      </c>
      <c r="B4" s="88">
        <f>'Stavební rozpočet'!C4</f>
        <v>0</v>
      </c>
      <c r="C4" s="77"/>
      <c r="D4" s="88" t="s">
        <v>136</v>
      </c>
      <c r="E4" s="88">
        <f>'Stavební rozpočet'!I4</f>
        <v>0</v>
      </c>
      <c r="F4" s="77"/>
      <c r="G4" s="84"/>
      <c r="H4" s="28"/>
    </row>
    <row r="5" spans="1:8" ht="12.75">
      <c r="A5" s="76"/>
      <c r="B5" s="77"/>
      <c r="C5" s="77"/>
      <c r="D5" s="77"/>
      <c r="E5" s="77"/>
      <c r="F5" s="77"/>
      <c r="G5" s="84"/>
      <c r="H5" s="28"/>
    </row>
    <row r="6" spans="1:8" ht="12.75">
      <c r="A6" s="85" t="s">
        <v>3</v>
      </c>
      <c r="B6" s="88">
        <f>'Stavební rozpočet'!C6</f>
        <v>0</v>
      </c>
      <c r="C6" s="77"/>
      <c r="D6" s="88" t="s">
        <v>137</v>
      </c>
      <c r="E6" s="88">
        <f>'Stavební rozpočet'!I6</f>
        <v>0</v>
      </c>
      <c r="F6" s="77"/>
      <c r="G6" s="84"/>
      <c r="H6" s="28"/>
    </row>
    <row r="7" spans="1:8" ht="12.75">
      <c r="A7" s="76"/>
      <c r="B7" s="77"/>
      <c r="C7" s="77"/>
      <c r="D7" s="77"/>
      <c r="E7" s="77"/>
      <c r="F7" s="77"/>
      <c r="G7" s="84"/>
      <c r="H7" s="28"/>
    </row>
    <row r="8" spans="1:8" ht="12.75">
      <c r="A8" s="85" t="s">
        <v>138</v>
      </c>
      <c r="B8" s="88">
        <f>'Stavební rozpočet'!I8</f>
        <v>0</v>
      </c>
      <c r="C8" s="77"/>
      <c r="D8" s="87" t="s">
        <v>124</v>
      </c>
      <c r="E8" s="88" t="str">
        <f>'Stavební rozpočet'!F8</f>
        <v>10.07.2019</v>
      </c>
      <c r="F8" s="77"/>
      <c r="G8" s="84"/>
      <c r="H8" s="28"/>
    </row>
    <row r="9" spans="1:8" ht="12.75">
      <c r="A9" s="89"/>
      <c r="B9" s="90"/>
      <c r="C9" s="90"/>
      <c r="D9" s="90"/>
      <c r="E9" s="90"/>
      <c r="F9" s="90"/>
      <c r="G9" s="91"/>
      <c r="H9" s="28"/>
    </row>
    <row r="10" spans="1:8" ht="12.75">
      <c r="A10" s="35" t="s">
        <v>180</v>
      </c>
      <c r="B10" s="37" t="s">
        <v>37</v>
      </c>
      <c r="C10" s="111" t="s">
        <v>80</v>
      </c>
      <c r="D10" s="112"/>
      <c r="E10" s="38" t="s">
        <v>181</v>
      </c>
      <c r="F10" s="38" t="s">
        <v>182</v>
      </c>
      <c r="G10" s="38" t="s">
        <v>183</v>
      </c>
      <c r="H10" s="28"/>
    </row>
    <row r="11" spans="1:9" ht="12.75">
      <c r="A11" s="36"/>
      <c r="B11" s="36" t="s">
        <v>38</v>
      </c>
      <c r="C11" s="113" t="s">
        <v>82</v>
      </c>
      <c r="D11" s="114"/>
      <c r="E11" s="40">
        <f>'Stavební rozpočet'!I12</f>
        <v>0</v>
      </c>
      <c r="F11" s="40">
        <f>'Stavební rozpočet'!J12</f>
        <v>0</v>
      </c>
      <c r="G11" s="40">
        <f>'Stavební rozpočet'!K12</f>
        <v>0</v>
      </c>
      <c r="H11" s="30" t="s">
        <v>184</v>
      </c>
      <c r="I11" s="30">
        <f aca="true" t="shared" si="0" ref="I11:I22">IF(H11="F",0,G11)</f>
        <v>0</v>
      </c>
    </row>
    <row r="12" spans="1:9" ht="12.75">
      <c r="A12" s="13"/>
      <c r="B12" s="13" t="s">
        <v>41</v>
      </c>
      <c r="C12" s="87" t="s">
        <v>85</v>
      </c>
      <c r="D12" s="77"/>
      <c r="E12" s="30">
        <f>'Stavební rozpočet'!I15</f>
        <v>0</v>
      </c>
      <c r="F12" s="30">
        <f>'Stavební rozpočet'!J15</f>
        <v>0</v>
      </c>
      <c r="G12" s="30">
        <f>'Stavební rozpočet'!K15</f>
        <v>0</v>
      </c>
      <c r="H12" s="30" t="s">
        <v>184</v>
      </c>
      <c r="I12" s="30">
        <f t="shared" si="0"/>
        <v>0</v>
      </c>
    </row>
    <row r="13" spans="1:9" ht="12.75">
      <c r="A13" s="13"/>
      <c r="B13" s="13" t="s">
        <v>43</v>
      </c>
      <c r="C13" s="87" t="s">
        <v>87</v>
      </c>
      <c r="D13" s="77"/>
      <c r="E13" s="30">
        <f>'Stavební rozpočet'!I17</f>
        <v>0</v>
      </c>
      <c r="F13" s="30">
        <f>'Stavební rozpočet'!J17</f>
        <v>0</v>
      </c>
      <c r="G13" s="30">
        <f>'Stavební rozpočet'!K17</f>
        <v>0</v>
      </c>
      <c r="H13" s="30" t="s">
        <v>184</v>
      </c>
      <c r="I13" s="30">
        <f t="shared" si="0"/>
        <v>0</v>
      </c>
    </row>
    <row r="14" spans="1:9" ht="12.75">
      <c r="A14" s="13"/>
      <c r="B14" s="13" t="s">
        <v>52</v>
      </c>
      <c r="C14" s="87" t="s">
        <v>96</v>
      </c>
      <c r="D14" s="77"/>
      <c r="E14" s="30">
        <f>'Stavební rozpočet'!I27</f>
        <v>0</v>
      </c>
      <c r="F14" s="30">
        <f>'Stavební rozpočet'!J27</f>
        <v>0</v>
      </c>
      <c r="G14" s="30">
        <f>'Stavební rozpočet'!K27</f>
        <v>0</v>
      </c>
      <c r="H14" s="30" t="s">
        <v>184</v>
      </c>
      <c r="I14" s="30">
        <f t="shared" si="0"/>
        <v>0</v>
      </c>
    </row>
    <row r="15" spans="1:9" ht="12.75">
      <c r="A15" s="13"/>
      <c r="B15" s="13" t="s">
        <v>54</v>
      </c>
      <c r="C15" s="87" t="s">
        <v>97</v>
      </c>
      <c r="D15" s="77"/>
      <c r="E15" s="30">
        <f>'Stavební rozpočet'!I29</f>
        <v>0</v>
      </c>
      <c r="F15" s="30">
        <f>'Stavební rozpočet'!J29</f>
        <v>0</v>
      </c>
      <c r="G15" s="30">
        <f>'Stavební rozpočet'!K29</f>
        <v>0</v>
      </c>
      <c r="H15" s="30" t="s">
        <v>184</v>
      </c>
      <c r="I15" s="30">
        <f t="shared" si="0"/>
        <v>0</v>
      </c>
    </row>
    <row r="16" spans="1:9" ht="12.75">
      <c r="A16" s="13"/>
      <c r="B16" s="13" t="s">
        <v>56</v>
      </c>
      <c r="C16" s="87" t="s">
        <v>99</v>
      </c>
      <c r="D16" s="77"/>
      <c r="E16" s="30">
        <f>'Stavební rozpočet'!I31</f>
        <v>0</v>
      </c>
      <c r="F16" s="30">
        <f>'Stavební rozpočet'!J31</f>
        <v>0</v>
      </c>
      <c r="G16" s="30">
        <f>'Stavební rozpočet'!K31</f>
        <v>0</v>
      </c>
      <c r="H16" s="30" t="s">
        <v>184</v>
      </c>
      <c r="I16" s="30">
        <f t="shared" si="0"/>
        <v>0</v>
      </c>
    </row>
    <row r="17" spans="1:9" ht="12.75">
      <c r="A17" s="13"/>
      <c r="B17" s="13" t="s">
        <v>59</v>
      </c>
      <c r="C17" s="87" t="s">
        <v>102</v>
      </c>
      <c r="D17" s="77"/>
      <c r="E17" s="30">
        <f>'Stavební rozpočet'!I34</f>
        <v>0</v>
      </c>
      <c r="F17" s="30">
        <f>'Stavební rozpočet'!J34</f>
        <v>0</v>
      </c>
      <c r="G17" s="30">
        <f>'Stavební rozpočet'!K34</f>
        <v>0</v>
      </c>
      <c r="H17" s="30" t="s">
        <v>184</v>
      </c>
      <c r="I17" s="30">
        <f t="shared" si="0"/>
        <v>0</v>
      </c>
    </row>
    <row r="18" spans="1:9" ht="12.75">
      <c r="A18" s="13"/>
      <c r="B18" s="13" t="s">
        <v>61</v>
      </c>
      <c r="C18" s="87" t="s">
        <v>104</v>
      </c>
      <c r="D18" s="77"/>
      <c r="E18" s="30">
        <f>'Stavební rozpočet'!I36</f>
        <v>0</v>
      </c>
      <c r="F18" s="30">
        <f>'Stavební rozpočet'!J36</f>
        <v>0</v>
      </c>
      <c r="G18" s="30">
        <f>'Stavební rozpočet'!K36</f>
        <v>0</v>
      </c>
      <c r="H18" s="30" t="s">
        <v>184</v>
      </c>
      <c r="I18" s="30">
        <f t="shared" si="0"/>
        <v>0</v>
      </c>
    </row>
    <row r="19" spans="1:9" ht="12.75">
      <c r="A19" s="13"/>
      <c r="B19" s="13" t="s">
        <v>63</v>
      </c>
      <c r="C19" s="87" t="s">
        <v>106</v>
      </c>
      <c r="D19" s="77"/>
      <c r="E19" s="30">
        <f>'Stavební rozpočet'!I38</f>
        <v>0</v>
      </c>
      <c r="F19" s="30">
        <f>'Stavební rozpočet'!J38</f>
        <v>0</v>
      </c>
      <c r="G19" s="30">
        <f>'Stavební rozpočet'!K38</f>
        <v>0</v>
      </c>
      <c r="H19" s="30" t="s">
        <v>184</v>
      </c>
      <c r="I19" s="30">
        <f t="shared" si="0"/>
        <v>0</v>
      </c>
    </row>
    <row r="20" spans="1:9" ht="12.75">
      <c r="A20" s="13"/>
      <c r="B20" s="13" t="s">
        <v>68</v>
      </c>
      <c r="C20" s="87" t="s">
        <v>111</v>
      </c>
      <c r="D20" s="77"/>
      <c r="E20" s="30">
        <f>'Stavební rozpočet'!I43</f>
        <v>0</v>
      </c>
      <c r="F20" s="30">
        <f>'Stavební rozpočet'!J43</f>
        <v>0</v>
      </c>
      <c r="G20" s="30">
        <f>'Stavební rozpočet'!K43</f>
        <v>0</v>
      </c>
      <c r="H20" s="30" t="s">
        <v>184</v>
      </c>
      <c r="I20" s="30">
        <f t="shared" si="0"/>
        <v>0</v>
      </c>
    </row>
    <row r="21" spans="1:9" ht="12.75">
      <c r="A21" s="13"/>
      <c r="B21" s="13" t="s">
        <v>70</v>
      </c>
      <c r="C21" s="87" t="s">
        <v>112</v>
      </c>
      <c r="D21" s="77"/>
      <c r="E21" s="30">
        <f>'Stavební rozpočet'!I45</f>
        <v>0</v>
      </c>
      <c r="F21" s="30">
        <f>'Stavební rozpočet'!J45</f>
        <v>0</v>
      </c>
      <c r="G21" s="30">
        <f>'Stavební rozpočet'!K45</f>
        <v>0</v>
      </c>
      <c r="H21" s="30" t="s">
        <v>184</v>
      </c>
      <c r="I21" s="30">
        <f t="shared" si="0"/>
        <v>0</v>
      </c>
    </row>
    <row r="22" spans="1:9" ht="12.75">
      <c r="A22" s="13"/>
      <c r="B22" s="13" t="s">
        <v>73</v>
      </c>
      <c r="C22" s="87" t="s">
        <v>115</v>
      </c>
      <c r="D22" s="77"/>
      <c r="E22" s="30">
        <f>'Stavební rozpočet'!I48</f>
        <v>0</v>
      </c>
      <c r="F22" s="30">
        <f>'Stavební rozpočet'!J48</f>
        <v>0</v>
      </c>
      <c r="G22" s="30">
        <f>'Stavební rozpočet'!K48</f>
        <v>0</v>
      </c>
      <c r="H22" s="30" t="s">
        <v>184</v>
      </c>
      <c r="I22" s="30">
        <f t="shared" si="0"/>
        <v>0</v>
      </c>
    </row>
    <row r="24" spans="6:7" ht="12.75">
      <c r="F24" s="39" t="s">
        <v>143</v>
      </c>
      <c r="G24" s="41">
        <f>SUM(I11:I22)</f>
        <v>0</v>
      </c>
    </row>
  </sheetData>
  <sheetProtection/>
  <mergeCells count="30">
    <mergeCell ref="C22:D22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72" t="s">
        <v>185</v>
      </c>
      <c r="B1" s="73"/>
      <c r="C1" s="73"/>
      <c r="D1" s="73"/>
      <c r="E1" s="73"/>
      <c r="F1" s="73"/>
      <c r="G1" s="73"/>
      <c r="H1" s="73"/>
    </row>
    <row r="2" spans="1:9" ht="12.75">
      <c r="A2" s="74" t="s">
        <v>1</v>
      </c>
      <c r="B2" s="75"/>
      <c r="C2" s="78" t="str">
        <f>'Stavební rozpočet'!C2</f>
        <v>xxxxxx</v>
      </c>
      <c r="D2" s="110"/>
      <c r="E2" s="81" t="s">
        <v>135</v>
      </c>
      <c r="F2" s="81">
        <f>'Stavební rozpočet'!I2</f>
        <v>0</v>
      </c>
      <c r="G2" s="75"/>
      <c r="H2" s="83"/>
      <c r="I2" s="28"/>
    </row>
    <row r="3" spans="1:9" ht="12.75">
      <c r="A3" s="76"/>
      <c r="B3" s="77"/>
      <c r="C3" s="79"/>
      <c r="D3" s="79"/>
      <c r="E3" s="77"/>
      <c r="F3" s="77"/>
      <c r="G3" s="77"/>
      <c r="H3" s="84"/>
      <c r="I3" s="28"/>
    </row>
    <row r="4" spans="1:9" ht="12.75">
      <c r="A4" s="85" t="s">
        <v>2</v>
      </c>
      <c r="B4" s="77"/>
      <c r="C4" s="88">
        <f>'Stavební rozpočet'!C4</f>
        <v>0</v>
      </c>
      <c r="D4" s="77"/>
      <c r="E4" s="88" t="s">
        <v>136</v>
      </c>
      <c r="F4" s="88">
        <f>'Stavební rozpočet'!I4</f>
        <v>0</v>
      </c>
      <c r="G4" s="77"/>
      <c r="H4" s="84"/>
      <c r="I4" s="28"/>
    </row>
    <row r="5" spans="1:9" ht="12.75">
      <c r="A5" s="76"/>
      <c r="B5" s="77"/>
      <c r="C5" s="77"/>
      <c r="D5" s="77"/>
      <c r="E5" s="77"/>
      <c r="F5" s="77"/>
      <c r="G5" s="77"/>
      <c r="H5" s="84"/>
      <c r="I5" s="28"/>
    </row>
    <row r="6" spans="1:9" ht="12.75">
      <c r="A6" s="85" t="s">
        <v>3</v>
      </c>
      <c r="B6" s="77"/>
      <c r="C6" s="88">
        <f>'Stavební rozpočet'!C6</f>
        <v>0</v>
      </c>
      <c r="D6" s="77"/>
      <c r="E6" s="88" t="s">
        <v>137</v>
      </c>
      <c r="F6" s="88">
        <f>'Stavební rozpočet'!I6</f>
        <v>0</v>
      </c>
      <c r="G6" s="77"/>
      <c r="H6" s="84"/>
      <c r="I6" s="28"/>
    </row>
    <row r="7" spans="1:9" ht="12.75">
      <c r="A7" s="76"/>
      <c r="B7" s="77"/>
      <c r="C7" s="77"/>
      <c r="D7" s="77"/>
      <c r="E7" s="77"/>
      <c r="F7" s="77"/>
      <c r="G7" s="77"/>
      <c r="H7" s="84"/>
      <c r="I7" s="28"/>
    </row>
    <row r="8" spans="1:9" ht="12.75">
      <c r="A8" s="85" t="s">
        <v>138</v>
      </c>
      <c r="B8" s="77"/>
      <c r="C8" s="88">
        <f>'Stavební rozpočet'!I8</f>
        <v>0</v>
      </c>
      <c r="D8" s="77"/>
      <c r="E8" s="88" t="s">
        <v>124</v>
      </c>
      <c r="F8" s="88" t="str">
        <f>'Stavební rozpočet'!F8</f>
        <v>10.07.2019</v>
      </c>
      <c r="G8" s="77"/>
      <c r="H8" s="84"/>
      <c r="I8" s="28"/>
    </row>
    <row r="9" spans="1:9" ht="12.75">
      <c r="A9" s="89"/>
      <c r="B9" s="90"/>
      <c r="C9" s="90"/>
      <c r="D9" s="90"/>
      <c r="E9" s="90"/>
      <c r="F9" s="90"/>
      <c r="G9" s="90"/>
      <c r="H9" s="91"/>
      <c r="I9" s="28"/>
    </row>
    <row r="10" spans="1:9" ht="12.75">
      <c r="A10" s="37" t="s">
        <v>5</v>
      </c>
      <c r="B10" s="43" t="s">
        <v>180</v>
      </c>
      <c r="C10" s="43" t="s">
        <v>37</v>
      </c>
      <c r="D10" s="43" t="s">
        <v>80</v>
      </c>
      <c r="E10" s="43" t="s">
        <v>127</v>
      </c>
      <c r="F10" s="43" t="s">
        <v>81</v>
      </c>
      <c r="G10" s="44" t="s">
        <v>134</v>
      </c>
      <c r="H10" s="35" t="s">
        <v>186</v>
      </c>
      <c r="I10" s="29"/>
    </row>
    <row r="11" spans="1:8" ht="12.75">
      <c r="A11" s="42"/>
      <c r="B11" s="42"/>
      <c r="C11" s="42"/>
      <c r="D11" s="42"/>
      <c r="E11" s="42"/>
      <c r="F11" s="42"/>
      <c r="G11" s="42"/>
      <c r="H11" s="42"/>
    </row>
    <row r="12" ht="11.25" customHeight="1">
      <c r="A12" s="8" t="s">
        <v>36</v>
      </c>
    </row>
    <row r="13" spans="1:7" ht="12.75">
      <c r="A13" s="88"/>
      <c r="B13" s="77"/>
      <c r="C13" s="77"/>
      <c r="D13" s="77"/>
      <c r="E13" s="77"/>
      <c r="F13" s="77"/>
      <c r="G13" s="77"/>
    </row>
  </sheetData>
  <sheetProtection/>
  <mergeCells count="18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5" sqref="I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0"/>
      <c r="B1" s="45"/>
      <c r="C1" s="115" t="s">
        <v>202</v>
      </c>
      <c r="D1" s="73"/>
      <c r="E1" s="73"/>
      <c r="F1" s="73"/>
      <c r="G1" s="73"/>
      <c r="H1" s="73"/>
      <c r="I1" s="73"/>
    </row>
    <row r="2" spans="1:10" ht="12.75">
      <c r="A2" s="74" t="s">
        <v>1</v>
      </c>
      <c r="B2" s="75"/>
      <c r="C2" s="78" t="str">
        <f>'Stavební rozpočet'!C2</f>
        <v>xxxxxx</v>
      </c>
      <c r="D2" s="110"/>
      <c r="E2" s="81" t="s">
        <v>135</v>
      </c>
      <c r="F2" s="81">
        <f>'Stavební rozpočet'!I2</f>
        <v>0</v>
      </c>
      <c r="G2" s="75"/>
      <c r="H2" s="81" t="s">
        <v>227</v>
      </c>
      <c r="I2" s="116"/>
      <c r="J2" s="28"/>
    </row>
    <row r="3" spans="1:10" ht="12.75">
      <c r="A3" s="76"/>
      <c r="B3" s="77"/>
      <c r="C3" s="79"/>
      <c r="D3" s="79"/>
      <c r="E3" s="77"/>
      <c r="F3" s="77"/>
      <c r="G3" s="77"/>
      <c r="H3" s="77"/>
      <c r="I3" s="84"/>
      <c r="J3" s="28"/>
    </row>
    <row r="4" spans="1:10" ht="12.75">
      <c r="A4" s="85" t="s">
        <v>2</v>
      </c>
      <c r="B4" s="77"/>
      <c r="C4" s="88">
        <f>'Stavební rozpočet'!C4</f>
        <v>0</v>
      </c>
      <c r="D4" s="77"/>
      <c r="E4" s="88" t="s">
        <v>136</v>
      </c>
      <c r="F4" s="88">
        <f>'Stavební rozpočet'!I4</f>
        <v>0</v>
      </c>
      <c r="G4" s="77"/>
      <c r="H4" s="88" t="s">
        <v>227</v>
      </c>
      <c r="I4" s="117"/>
      <c r="J4" s="28"/>
    </row>
    <row r="5" spans="1:10" ht="12.75">
      <c r="A5" s="76"/>
      <c r="B5" s="77"/>
      <c r="C5" s="77"/>
      <c r="D5" s="77"/>
      <c r="E5" s="77"/>
      <c r="F5" s="77"/>
      <c r="G5" s="77"/>
      <c r="H5" s="77"/>
      <c r="I5" s="84"/>
      <c r="J5" s="28"/>
    </row>
    <row r="6" spans="1:10" ht="12.75">
      <c r="A6" s="85" t="s">
        <v>3</v>
      </c>
      <c r="B6" s="77"/>
      <c r="C6" s="88">
        <f>'Stavební rozpočet'!C6</f>
        <v>0</v>
      </c>
      <c r="D6" s="77"/>
      <c r="E6" s="88" t="s">
        <v>137</v>
      </c>
      <c r="F6" s="88">
        <f>'Stavební rozpočet'!I6</f>
        <v>0</v>
      </c>
      <c r="G6" s="77"/>
      <c r="H6" s="88" t="s">
        <v>227</v>
      </c>
      <c r="I6" s="117"/>
      <c r="J6" s="28"/>
    </row>
    <row r="7" spans="1:10" ht="12.75">
      <c r="A7" s="76"/>
      <c r="B7" s="77"/>
      <c r="C7" s="77"/>
      <c r="D7" s="77"/>
      <c r="E7" s="77"/>
      <c r="F7" s="77"/>
      <c r="G7" s="77"/>
      <c r="H7" s="77"/>
      <c r="I7" s="84"/>
      <c r="J7" s="28"/>
    </row>
    <row r="8" spans="1:10" ht="12.75">
      <c r="A8" s="85" t="s">
        <v>122</v>
      </c>
      <c r="B8" s="77"/>
      <c r="C8" s="88" t="str">
        <f>'Stavební rozpočet'!F4</f>
        <v>10.07.2019</v>
      </c>
      <c r="D8" s="77"/>
      <c r="E8" s="88" t="s">
        <v>123</v>
      </c>
      <c r="F8" s="88" t="str">
        <f>'Stavební rozpočet'!F6</f>
        <v> </v>
      </c>
      <c r="G8" s="77"/>
      <c r="H8" s="87" t="s">
        <v>228</v>
      </c>
      <c r="I8" s="117" t="s">
        <v>35</v>
      </c>
      <c r="J8" s="28"/>
    </row>
    <row r="9" spans="1:10" ht="12.75">
      <c r="A9" s="76"/>
      <c r="B9" s="77"/>
      <c r="C9" s="77"/>
      <c r="D9" s="77"/>
      <c r="E9" s="77"/>
      <c r="F9" s="77"/>
      <c r="G9" s="77"/>
      <c r="H9" s="77"/>
      <c r="I9" s="84"/>
      <c r="J9" s="28"/>
    </row>
    <row r="10" spans="1:10" ht="12.75">
      <c r="A10" s="85" t="s">
        <v>4</v>
      </c>
      <c r="B10" s="77"/>
      <c r="C10" s="88">
        <f>'Stavební rozpočet'!C8</f>
        <v>0</v>
      </c>
      <c r="D10" s="77"/>
      <c r="E10" s="88" t="s">
        <v>138</v>
      </c>
      <c r="F10" s="88">
        <f>'Stavební rozpočet'!I8</f>
        <v>0</v>
      </c>
      <c r="G10" s="77"/>
      <c r="H10" s="87" t="s">
        <v>229</v>
      </c>
      <c r="I10" s="120" t="str">
        <f>'Stavební rozpočet'!F8</f>
        <v>10.07.2019</v>
      </c>
      <c r="J10" s="28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1"/>
      <c r="J11" s="28"/>
    </row>
    <row r="12" spans="1:9" ht="23.25" customHeight="1">
      <c r="A12" s="122" t="s">
        <v>187</v>
      </c>
      <c r="B12" s="123"/>
      <c r="C12" s="123"/>
      <c r="D12" s="123"/>
      <c r="E12" s="123"/>
      <c r="F12" s="123"/>
      <c r="G12" s="123"/>
      <c r="H12" s="123"/>
      <c r="I12" s="123"/>
    </row>
    <row r="13" spans="1:10" ht="26.25" customHeight="1">
      <c r="A13" s="46" t="s">
        <v>188</v>
      </c>
      <c r="B13" s="124" t="s">
        <v>200</v>
      </c>
      <c r="C13" s="125"/>
      <c r="D13" s="46" t="s">
        <v>203</v>
      </c>
      <c r="E13" s="124" t="s">
        <v>212</v>
      </c>
      <c r="F13" s="125"/>
      <c r="G13" s="46" t="s">
        <v>213</v>
      </c>
      <c r="H13" s="124" t="s">
        <v>230</v>
      </c>
      <c r="I13" s="125"/>
      <c r="J13" s="28"/>
    </row>
    <row r="14" spans="1:10" ht="15" customHeight="1">
      <c r="A14" s="47" t="s">
        <v>189</v>
      </c>
      <c r="B14" s="51" t="s">
        <v>201</v>
      </c>
      <c r="C14" s="54">
        <f>SUM('Stavební rozpočet'!X12:X53)</f>
        <v>0</v>
      </c>
      <c r="D14" s="126" t="s">
        <v>204</v>
      </c>
      <c r="E14" s="127"/>
      <c r="F14" s="54">
        <f>VORN!I15</f>
        <v>0</v>
      </c>
      <c r="G14" s="126" t="s">
        <v>214</v>
      </c>
      <c r="H14" s="127"/>
      <c r="I14" s="54">
        <f>VORN!I21</f>
        <v>0</v>
      </c>
      <c r="J14" s="28"/>
    </row>
    <row r="15" spans="1:10" ht="15" customHeight="1">
      <c r="A15" s="48"/>
      <c r="B15" s="51" t="s">
        <v>144</v>
      </c>
      <c r="C15" s="54">
        <f>SUM('Stavební rozpočet'!Y12:Y53)</f>
        <v>0</v>
      </c>
      <c r="D15" s="126" t="s">
        <v>205</v>
      </c>
      <c r="E15" s="127"/>
      <c r="F15" s="54">
        <f>VORN!I16</f>
        <v>0</v>
      </c>
      <c r="G15" s="126" t="s">
        <v>215</v>
      </c>
      <c r="H15" s="127"/>
      <c r="I15" s="54">
        <f>VORN!I22</f>
        <v>0</v>
      </c>
      <c r="J15" s="28"/>
    </row>
    <row r="16" spans="1:10" ht="15" customHeight="1">
      <c r="A16" s="47" t="s">
        <v>190</v>
      </c>
      <c r="B16" s="51" t="s">
        <v>201</v>
      </c>
      <c r="C16" s="54">
        <f>SUM('Stavební rozpočet'!Z12:Z53)</f>
        <v>0</v>
      </c>
      <c r="D16" s="126" t="s">
        <v>206</v>
      </c>
      <c r="E16" s="127"/>
      <c r="F16" s="54">
        <f>VORN!I17</f>
        <v>0</v>
      </c>
      <c r="G16" s="126" t="s">
        <v>216</v>
      </c>
      <c r="H16" s="127"/>
      <c r="I16" s="54">
        <f>VORN!I23</f>
        <v>0</v>
      </c>
      <c r="J16" s="28"/>
    </row>
    <row r="17" spans="1:10" ht="15" customHeight="1">
      <c r="A17" s="48"/>
      <c r="B17" s="51" t="s">
        <v>144</v>
      </c>
      <c r="C17" s="54">
        <f>SUM('Stavební rozpočet'!AA12:AA53)</f>
        <v>0</v>
      </c>
      <c r="D17" s="126"/>
      <c r="E17" s="127"/>
      <c r="F17" s="55"/>
      <c r="G17" s="126" t="s">
        <v>217</v>
      </c>
      <c r="H17" s="127"/>
      <c r="I17" s="54">
        <f>VORN!I24</f>
        <v>0</v>
      </c>
      <c r="J17" s="28"/>
    </row>
    <row r="18" spans="1:10" ht="15" customHeight="1">
      <c r="A18" s="47" t="s">
        <v>191</v>
      </c>
      <c r="B18" s="51" t="s">
        <v>201</v>
      </c>
      <c r="C18" s="54">
        <f>SUM('Stavební rozpočet'!AB12:AB53)</f>
        <v>0</v>
      </c>
      <c r="D18" s="126"/>
      <c r="E18" s="127"/>
      <c r="F18" s="55"/>
      <c r="G18" s="126" t="s">
        <v>218</v>
      </c>
      <c r="H18" s="127"/>
      <c r="I18" s="54">
        <f>VORN!I25</f>
        <v>0</v>
      </c>
      <c r="J18" s="28"/>
    </row>
    <row r="19" spans="1:10" ht="15" customHeight="1">
      <c r="A19" s="48"/>
      <c r="B19" s="51" t="s">
        <v>144</v>
      </c>
      <c r="C19" s="54">
        <f>SUM('Stavební rozpočet'!AC12:AC53)</f>
        <v>0</v>
      </c>
      <c r="D19" s="126"/>
      <c r="E19" s="127"/>
      <c r="F19" s="55"/>
      <c r="G19" s="126" t="s">
        <v>219</v>
      </c>
      <c r="H19" s="127"/>
      <c r="I19" s="54">
        <f>VORN!I26</f>
        <v>0</v>
      </c>
      <c r="J19" s="28"/>
    </row>
    <row r="20" spans="1:10" ht="15" customHeight="1">
      <c r="A20" s="128" t="s">
        <v>192</v>
      </c>
      <c r="B20" s="129"/>
      <c r="C20" s="54">
        <f>SUM('Stavební rozpočet'!AD12:AD53)</f>
        <v>0</v>
      </c>
      <c r="D20" s="126"/>
      <c r="E20" s="127"/>
      <c r="F20" s="55"/>
      <c r="G20" s="126"/>
      <c r="H20" s="127"/>
      <c r="I20" s="55"/>
      <c r="J20" s="28"/>
    </row>
    <row r="21" spans="1:10" ht="15" customHeight="1">
      <c r="A21" s="128" t="s">
        <v>193</v>
      </c>
      <c r="B21" s="129"/>
      <c r="C21" s="54">
        <f>SUM('Stavební rozpočet'!V12:V53)</f>
        <v>0</v>
      </c>
      <c r="D21" s="126"/>
      <c r="E21" s="127"/>
      <c r="F21" s="55"/>
      <c r="G21" s="126"/>
      <c r="H21" s="127"/>
      <c r="I21" s="55"/>
      <c r="J21" s="28"/>
    </row>
    <row r="22" spans="1:10" ht="16.5" customHeight="1">
      <c r="A22" s="128" t="s">
        <v>194</v>
      </c>
      <c r="B22" s="129"/>
      <c r="C22" s="54">
        <f>SUM(C14:C21)</f>
        <v>0</v>
      </c>
      <c r="D22" s="128" t="s">
        <v>207</v>
      </c>
      <c r="E22" s="129"/>
      <c r="F22" s="54">
        <f>SUM(F14:F21)</f>
        <v>0</v>
      </c>
      <c r="G22" s="128" t="s">
        <v>220</v>
      </c>
      <c r="H22" s="129"/>
      <c r="I22" s="54">
        <f>SUM(I14:I21)</f>
        <v>0</v>
      </c>
      <c r="J22" s="28"/>
    </row>
    <row r="23" spans="1:10" ht="15" customHeight="1">
      <c r="A23" s="7"/>
      <c r="B23" s="7"/>
      <c r="C23" s="52"/>
      <c r="D23" s="128" t="s">
        <v>208</v>
      </c>
      <c r="E23" s="129"/>
      <c r="F23" s="56">
        <v>0</v>
      </c>
      <c r="G23" s="128" t="s">
        <v>221</v>
      </c>
      <c r="H23" s="129"/>
      <c r="I23" s="54">
        <v>0</v>
      </c>
      <c r="J23" s="28"/>
    </row>
    <row r="24" spans="4:10" ht="15" customHeight="1">
      <c r="D24" s="7"/>
      <c r="E24" s="7"/>
      <c r="F24" s="57"/>
      <c r="G24" s="128" t="s">
        <v>222</v>
      </c>
      <c r="H24" s="129"/>
      <c r="I24" s="54">
        <f>vorn_sum</f>
        <v>0</v>
      </c>
      <c r="J24" s="28"/>
    </row>
    <row r="25" spans="6:10" ht="15" customHeight="1">
      <c r="F25" s="58"/>
      <c r="G25" s="128" t="s">
        <v>223</v>
      </c>
      <c r="H25" s="129"/>
      <c r="I25" s="54">
        <v>0</v>
      </c>
      <c r="J25" s="28"/>
    </row>
    <row r="26" spans="1:9" ht="12.75">
      <c r="A26" s="45"/>
      <c r="B26" s="45"/>
      <c r="C26" s="45"/>
      <c r="G26" s="7"/>
      <c r="H26" s="7"/>
      <c r="I26" s="7"/>
    </row>
    <row r="27" spans="1:9" ht="15" customHeight="1">
      <c r="A27" s="130" t="s">
        <v>195</v>
      </c>
      <c r="B27" s="131"/>
      <c r="C27" s="59">
        <f>SUM('Stavební rozpočet'!AF12:AF53)</f>
        <v>0</v>
      </c>
      <c r="D27" s="53"/>
      <c r="E27" s="45"/>
      <c r="F27" s="45"/>
      <c r="G27" s="45"/>
      <c r="H27" s="45"/>
      <c r="I27" s="45"/>
    </row>
    <row r="28" spans="1:10" ht="15" customHeight="1">
      <c r="A28" s="130" t="s">
        <v>196</v>
      </c>
      <c r="B28" s="131"/>
      <c r="C28" s="59">
        <f>SUM('Stavební rozpočet'!AG12:AG53)+(F22+I22+F23+I23+I24+I25)</f>
        <v>0</v>
      </c>
      <c r="D28" s="130" t="s">
        <v>209</v>
      </c>
      <c r="E28" s="131"/>
      <c r="F28" s="59">
        <f>ROUND(C28*(15/100),2)</f>
        <v>0</v>
      </c>
      <c r="G28" s="130" t="s">
        <v>224</v>
      </c>
      <c r="H28" s="131"/>
      <c r="I28" s="59">
        <f>SUM(C27:C29)</f>
        <v>0</v>
      </c>
      <c r="J28" s="28"/>
    </row>
    <row r="29" spans="1:10" ht="15" customHeight="1">
      <c r="A29" s="130" t="s">
        <v>197</v>
      </c>
      <c r="B29" s="131"/>
      <c r="C29" s="59">
        <f>SUM('Stavební rozpočet'!AH12:AH53)</f>
        <v>0</v>
      </c>
      <c r="D29" s="130" t="s">
        <v>210</v>
      </c>
      <c r="E29" s="131"/>
      <c r="F29" s="59">
        <f>ROUND(C29*(21/100),2)</f>
        <v>0</v>
      </c>
      <c r="G29" s="130" t="s">
        <v>225</v>
      </c>
      <c r="H29" s="131"/>
      <c r="I29" s="59">
        <f>SUM(F28:F29)+I28</f>
        <v>0</v>
      </c>
      <c r="J29" s="28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32" t="s">
        <v>198</v>
      </c>
      <c r="B31" s="133"/>
      <c r="C31" s="134"/>
      <c r="D31" s="132" t="s">
        <v>211</v>
      </c>
      <c r="E31" s="133"/>
      <c r="F31" s="134"/>
      <c r="G31" s="132" t="s">
        <v>226</v>
      </c>
      <c r="H31" s="133"/>
      <c r="I31" s="134"/>
      <c r="J31" s="29"/>
    </row>
    <row r="32" spans="1:10" ht="14.25" customHeight="1">
      <c r="A32" s="135"/>
      <c r="B32" s="136"/>
      <c r="C32" s="137"/>
      <c r="D32" s="135"/>
      <c r="E32" s="136"/>
      <c r="F32" s="137"/>
      <c r="G32" s="135"/>
      <c r="H32" s="136"/>
      <c r="I32" s="137"/>
      <c r="J32" s="29"/>
    </row>
    <row r="33" spans="1:10" ht="14.25" customHeight="1">
      <c r="A33" s="135"/>
      <c r="B33" s="136"/>
      <c r="C33" s="137"/>
      <c r="D33" s="135"/>
      <c r="E33" s="136"/>
      <c r="F33" s="137"/>
      <c r="G33" s="135"/>
      <c r="H33" s="136"/>
      <c r="I33" s="137"/>
      <c r="J33" s="29"/>
    </row>
    <row r="34" spans="1:10" ht="14.25" customHeight="1">
      <c r="A34" s="135"/>
      <c r="B34" s="136"/>
      <c r="C34" s="137"/>
      <c r="D34" s="135"/>
      <c r="E34" s="136"/>
      <c r="F34" s="137"/>
      <c r="G34" s="135"/>
      <c r="H34" s="136"/>
      <c r="I34" s="137"/>
      <c r="J34" s="29"/>
    </row>
    <row r="35" spans="1:10" ht="14.25" customHeight="1">
      <c r="A35" s="138" t="s">
        <v>199</v>
      </c>
      <c r="B35" s="139"/>
      <c r="C35" s="140"/>
      <c r="D35" s="138" t="s">
        <v>199</v>
      </c>
      <c r="E35" s="139"/>
      <c r="F35" s="140"/>
      <c r="G35" s="138" t="s">
        <v>199</v>
      </c>
      <c r="H35" s="139"/>
      <c r="I35" s="140"/>
      <c r="J35" s="29"/>
    </row>
    <row r="36" spans="1:9" ht="11.25" customHeight="1">
      <c r="A36" s="50" t="s">
        <v>36</v>
      </c>
      <c r="B36" s="42"/>
      <c r="C36" s="42"/>
      <c r="D36" s="42"/>
      <c r="E36" s="42"/>
      <c r="F36" s="42"/>
      <c r="G36" s="42"/>
      <c r="H36" s="42"/>
      <c r="I36" s="42"/>
    </row>
    <row r="37" spans="1:9" ht="12.75">
      <c r="A37" s="88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0"/>
      <c r="B1" s="45"/>
      <c r="C1" s="115" t="s">
        <v>239</v>
      </c>
      <c r="D1" s="73"/>
      <c r="E1" s="73"/>
      <c r="F1" s="73"/>
      <c r="G1" s="73"/>
      <c r="H1" s="73"/>
      <c r="I1" s="73"/>
    </row>
    <row r="2" spans="1:10" ht="12.75">
      <c r="A2" s="74" t="s">
        <v>1</v>
      </c>
      <c r="B2" s="75"/>
      <c r="C2" s="78" t="str">
        <f>'Stavební rozpočet'!C2</f>
        <v>xxxxxx</v>
      </c>
      <c r="D2" s="110"/>
      <c r="E2" s="81" t="s">
        <v>135</v>
      </c>
      <c r="F2" s="81">
        <f>'Stavební rozpočet'!I2</f>
        <v>0</v>
      </c>
      <c r="G2" s="75"/>
      <c r="H2" s="81" t="s">
        <v>227</v>
      </c>
      <c r="I2" s="116"/>
      <c r="J2" s="28"/>
    </row>
    <row r="3" spans="1:10" ht="12.75">
      <c r="A3" s="76"/>
      <c r="B3" s="77"/>
      <c r="C3" s="79"/>
      <c r="D3" s="79"/>
      <c r="E3" s="77"/>
      <c r="F3" s="77"/>
      <c r="G3" s="77"/>
      <c r="H3" s="77"/>
      <c r="I3" s="84"/>
      <c r="J3" s="28"/>
    </row>
    <row r="4" spans="1:10" ht="12.75">
      <c r="A4" s="85" t="s">
        <v>2</v>
      </c>
      <c r="B4" s="77"/>
      <c r="C4" s="88">
        <f>'Stavební rozpočet'!C4</f>
        <v>0</v>
      </c>
      <c r="D4" s="77"/>
      <c r="E4" s="88" t="s">
        <v>136</v>
      </c>
      <c r="F4" s="88">
        <f>'Stavební rozpočet'!I4</f>
        <v>0</v>
      </c>
      <c r="G4" s="77"/>
      <c r="H4" s="88" t="s">
        <v>227</v>
      </c>
      <c r="I4" s="117"/>
      <c r="J4" s="28"/>
    </row>
    <row r="5" spans="1:10" ht="12.75">
      <c r="A5" s="76"/>
      <c r="B5" s="77"/>
      <c r="C5" s="77"/>
      <c r="D5" s="77"/>
      <c r="E5" s="77"/>
      <c r="F5" s="77"/>
      <c r="G5" s="77"/>
      <c r="H5" s="77"/>
      <c r="I5" s="84"/>
      <c r="J5" s="28"/>
    </row>
    <row r="6" spans="1:10" ht="12.75">
      <c r="A6" s="85" t="s">
        <v>3</v>
      </c>
      <c r="B6" s="77"/>
      <c r="C6" s="88">
        <f>'Stavební rozpočet'!C6</f>
        <v>0</v>
      </c>
      <c r="D6" s="77"/>
      <c r="E6" s="88" t="s">
        <v>137</v>
      </c>
      <c r="F6" s="88">
        <f>'Stavební rozpočet'!I6</f>
        <v>0</v>
      </c>
      <c r="G6" s="77"/>
      <c r="H6" s="88" t="s">
        <v>227</v>
      </c>
      <c r="I6" s="117"/>
      <c r="J6" s="28"/>
    </row>
    <row r="7" spans="1:10" ht="12.75">
      <c r="A7" s="76"/>
      <c r="B7" s="77"/>
      <c r="C7" s="77"/>
      <c r="D7" s="77"/>
      <c r="E7" s="77"/>
      <c r="F7" s="77"/>
      <c r="G7" s="77"/>
      <c r="H7" s="77"/>
      <c r="I7" s="84"/>
      <c r="J7" s="28"/>
    </row>
    <row r="8" spans="1:10" ht="12.75">
      <c r="A8" s="85" t="s">
        <v>122</v>
      </c>
      <c r="B8" s="77"/>
      <c r="C8" s="88" t="str">
        <f>'Stavební rozpočet'!F4</f>
        <v>10.07.2019</v>
      </c>
      <c r="D8" s="77"/>
      <c r="E8" s="88" t="s">
        <v>123</v>
      </c>
      <c r="F8" s="88" t="str">
        <f>'Stavební rozpočet'!F6</f>
        <v> </v>
      </c>
      <c r="G8" s="77"/>
      <c r="H8" s="87" t="s">
        <v>228</v>
      </c>
      <c r="I8" s="117" t="s">
        <v>35</v>
      </c>
      <c r="J8" s="28"/>
    </row>
    <row r="9" spans="1:10" ht="12.75">
      <c r="A9" s="76"/>
      <c r="B9" s="77"/>
      <c r="C9" s="77"/>
      <c r="D9" s="77"/>
      <c r="E9" s="77"/>
      <c r="F9" s="77"/>
      <c r="G9" s="77"/>
      <c r="H9" s="77"/>
      <c r="I9" s="84"/>
      <c r="J9" s="28"/>
    </row>
    <row r="10" spans="1:10" ht="12.75">
      <c r="A10" s="85" t="s">
        <v>4</v>
      </c>
      <c r="B10" s="77"/>
      <c r="C10" s="88">
        <f>'Stavební rozpočet'!C8</f>
        <v>0</v>
      </c>
      <c r="D10" s="77"/>
      <c r="E10" s="88" t="s">
        <v>138</v>
      </c>
      <c r="F10" s="88">
        <f>'Stavební rozpočet'!I8</f>
        <v>0</v>
      </c>
      <c r="G10" s="77"/>
      <c r="H10" s="87" t="s">
        <v>229</v>
      </c>
      <c r="I10" s="120" t="str">
        <f>'Stavební rozpočet'!F8</f>
        <v>10.07.2019</v>
      </c>
      <c r="J10" s="28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1"/>
      <c r="J11" s="28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41" t="s">
        <v>231</v>
      </c>
      <c r="B13" s="142"/>
      <c r="C13" s="142"/>
      <c r="D13" s="142"/>
      <c r="E13" s="142"/>
      <c r="F13" s="61"/>
      <c r="G13" s="61"/>
      <c r="H13" s="61"/>
      <c r="I13" s="61"/>
    </row>
    <row r="14" spans="1:10" ht="12.75">
      <c r="A14" s="143" t="s">
        <v>232</v>
      </c>
      <c r="B14" s="144"/>
      <c r="C14" s="144"/>
      <c r="D14" s="144"/>
      <c r="E14" s="145"/>
      <c r="F14" s="62" t="s">
        <v>240</v>
      </c>
      <c r="G14" s="62" t="s">
        <v>241</v>
      </c>
      <c r="H14" s="62" t="s">
        <v>242</v>
      </c>
      <c r="I14" s="62" t="s">
        <v>240</v>
      </c>
      <c r="J14" s="29"/>
    </row>
    <row r="15" spans="1:10" ht="12.75">
      <c r="A15" s="146" t="s">
        <v>204</v>
      </c>
      <c r="B15" s="147"/>
      <c r="C15" s="147"/>
      <c r="D15" s="147"/>
      <c r="E15" s="148"/>
      <c r="F15" s="63">
        <v>0</v>
      </c>
      <c r="G15" s="66"/>
      <c r="H15" s="66"/>
      <c r="I15" s="63">
        <f>F15</f>
        <v>0</v>
      </c>
      <c r="J15" s="28"/>
    </row>
    <row r="16" spans="1:10" ht="12.75">
      <c r="A16" s="146" t="s">
        <v>205</v>
      </c>
      <c r="B16" s="147"/>
      <c r="C16" s="147"/>
      <c r="D16" s="147"/>
      <c r="E16" s="148"/>
      <c r="F16" s="63">
        <v>0</v>
      </c>
      <c r="G16" s="66"/>
      <c r="H16" s="66"/>
      <c r="I16" s="63">
        <f>F16</f>
        <v>0</v>
      </c>
      <c r="J16" s="28"/>
    </row>
    <row r="17" spans="1:10" ht="12.75">
      <c r="A17" s="149" t="s">
        <v>206</v>
      </c>
      <c r="B17" s="150"/>
      <c r="C17" s="150"/>
      <c r="D17" s="150"/>
      <c r="E17" s="151"/>
      <c r="F17" s="64">
        <v>0</v>
      </c>
      <c r="G17" s="67"/>
      <c r="H17" s="67"/>
      <c r="I17" s="64">
        <f>F17</f>
        <v>0</v>
      </c>
      <c r="J17" s="28"/>
    </row>
    <row r="18" spans="1:10" ht="12.75">
      <c r="A18" s="152" t="s">
        <v>233</v>
      </c>
      <c r="B18" s="153"/>
      <c r="C18" s="153"/>
      <c r="D18" s="153"/>
      <c r="E18" s="154"/>
      <c r="F18" s="65"/>
      <c r="G18" s="68"/>
      <c r="H18" s="68"/>
      <c r="I18" s="69">
        <f>SUM(I15:I17)</f>
        <v>0</v>
      </c>
      <c r="J18" s="29"/>
    </row>
    <row r="19" spans="1:9" ht="12.75">
      <c r="A19" s="60"/>
      <c r="B19" s="60"/>
      <c r="C19" s="60"/>
      <c r="D19" s="60"/>
      <c r="E19" s="60"/>
      <c r="F19" s="60"/>
      <c r="G19" s="60"/>
      <c r="H19" s="60"/>
      <c r="I19" s="60"/>
    </row>
    <row r="20" spans="1:10" ht="12.75">
      <c r="A20" s="143" t="s">
        <v>230</v>
      </c>
      <c r="B20" s="144"/>
      <c r="C20" s="144"/>
      <c r="D20" s="144"/>
      <c r="E20" s="145"/>
      <c r="F20" s="62" t="s">
        <v>240</v>
      </c>
      <c r="G20" s="62" t="s">
        <v>241</v>
      </c>
      <c r="H20" s="62" t="s">
        <v>242</v>
      </c>
      <c r="I20" s="62" t="s">
        <v>240</v>
      </c>
      <c r="J20" s="29"/>
    </row>
    <row r="21" spans="1:10" ht="12.75">
      <c r="A21" s="146" t="s">
        <v>214</v>
      </c>
      <c r="B21" s="147"/>
      <c r="C21" s="147"/>
      <c r="D21" s="147"/>
      <c r="E21" s="148"/>
      <c r="F21" s="63">
        <v>0</v>
      </c>
      <c r="G21" s="66"/>
      <c r="H21" s="66"/>
      <c r="I21" s="63">
        <f aca="true" t="shared" si="0" ref="I21:I26">F21</f>
        <v>0</v>
      </c>
      <c r="J21" s="28"/>
    </row>
    <row r="22" spans="1:10" ht="12.75">
      <c r="A22" s="146" t="s">
        <v>215</v>
      </c>
      <c r="B22" s="147"/>
      <c r="C22" s="147"/>
      <c r="D22" s="147"/>
      <c r="E22" s="148"/>
      <c r="F22" s="63">
        <v>0</v>
      </c>
      <c r="G22" s="66"/>
      <c r="H22" s="66"/>
      <c r="I22" s="63">
        <f t="shared" si="0"/>
        <v>0</v>
      </c>
      <c r="J22" s="28"/>
    </row>
    <row r="23" spans="1:10" ht="12.75">
      <c r="A23" s="146" t="s">
        <v>216</v>
      </c>
      <c r="B23" s="147"/>
      <c r="C23" s="147"/>
      <c r="D23" s="147"/>
      <c r="E23" s="148"/>
      <c r="F23" s="63">
        <v>0</v>
      </c>
      <c r="G23" s="66"/>
      <c r="H23" s="66"/>
      <c r="I23" s="63">
        <f t="shared" si="0"/>
        <v>0</v>
      </c>
      <c r="J23" s="28"/>
    </row>
    <row r="24" spans="1:10" ht="12.75">
      <c r="A24" s="146" t="s">
        <v>217</v>
      </c>
      <c r="B24" s="147"/>
      <c r="C24" s="147"/>
      <c r="D24" s="147"/>
      <c r="E24" s="148"/>
      <c r="F24" s="63">
        <v>0</v>
      </c>
      <c r="G24" s="66"/>
      <c r="H24" s="66"/>
      <c r="I24" s="63">
        <f t="shared" si="0"/>
        <v>0</v>
      </c>
      <c r="J24" s="28"/>
    </row>
    <row r="25" spans="1:10" ht="12.75">
      <c r="A25" s="146" t="s">
        <v>218</v>
      </c>
      <c r="B25" s="147"/>
      <c r="C25" s="147"/>
      <c r="D25" s="147"/>
      <c r="E25" s="148"/>
      <c r="F25" s="63">
        <v>0</v>
      </c>
      <c r="G25" s="66"/>
      <c r="H25" s="66"/>
      <c r="I25" s="63">
        <f t="shared" si="0"/>
        <v>0</v>
      </c>
      <c r="J25" s="28"/>
    </row>
    <row r="26" spans="1:10" ht="12.75">
      <c r="A26" s="149" t="s">
        <v>219</v>
      </c>
      <c r="B26" s="150"/>
      <c r="C26" s="150"/>
      <c r="D26" s="150"/>
      <c r="E26" s="151"/>
      <c r="F26" s="64">
        <v>0</v>
      </c>
      <c r="G26" s="67"/>
      <c r="H26" s="67"/>
      <c r="I26" s="64">
        <f t="shared" si="0"/>
        <v>0</v>
      </c>
      <c r="J26" s="28"/>
    </row>
    <row r="27" spans="1:10" ht="12.75">
      <c r="A27" s="152" t="s">
        <v>234</v>
      </c>
      <c r="B27" s="153"/>
      <c r="C27" s="153"/>
      <c r="D27" s="153"/>
      <c r="E27" s="154"/>
      <c r="F27" s="65"/>
      <c r="G27" s="68"/>
      <c r="H27" s="68"/>
      <c r="I27" s="69">
        <f>SUM(I21:I26)</f>
        <v>0</v>
      </c>
      <c r="J27" s="29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10" ht="15" customHeight="1">
      <c r="A29" s="155" t="s">
        <v>235</v>
      </c>
      <c r="B29" s="156"/>
      <c r="C29" s="156"/>
      <c r="D29" s="156"/>
      <c r="E29" s="157"/>
      <c r="F29" s="158">
        <f>I18+I27</f>
        <v>0</v>
      </c>
      <c r="G29" s="159"/>
      <c r="H29" s="159"/>
      <c r="I29" s="160"/>
      <c r="J29" s="29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3" spans="1:9" ht="15" customHeight="1">
      <c r="A33" s="141" t="s">
        <v>236</v>
      </c>
      <c r="B33" s="142"/>
      <c r="C33" s="142"/>
      <c r="D33" s="142"/>
      <c r="E33" s="142"/>
      <c r="F33" s="61"/>
      <c r="G33" s="61"/>
      <c r="H33" s="61"/>
      <c r="I33" s="61"/>
    </row>
    <row r="34" spans="1:10" ht="12.75">
      <c r="A34" s="143" t="s">
        <v>237</v>
      </c>
      <c r="B34" s="144"/>
      <c r="C34" s="144"/>
      <c r="D34" s="144"/>
      <c r="E34" s="145"/>
      <c r="F34" s="62" t="s">
        <v>240</v>
      </c>
      <c r="G34" s="62" t="s">
        <v>241</v>
      </c>
      <c r="H34" s="62" t="s">
        <v>242</v>
      </c>
      <c r="I34" s="62" t="s">
        <v>240</v>
      </c>
      <c r="J34" s="29"/>
    </row>
    <row r="35" spans="1:10" ht="12.75">
      <c r="A35" s="149"/>
      <c r="B35" s="150"/>
      <c r="C35" s="150"/>
      <c r="D35" s="150"/>
      <c r="E35" s="151"/>
      <c r="F35" s="64">
        <v>0</v>
      </c>
      <c r="G35" s="67"/>
      <c r="H35" s="67"/>
      <c r="I35" s="64">
        <f>F35</f>
        <v>0</v>
      </c>
      <c r="J35" s="28"/>
    </row>
    <row r="36" spans="1:10" ht="12.75">
      <c r="A36" s="152" t="s">
        <v>238</v>
      </c>
      <c r="B36" s="153"/>
      <c r="C36" s="153"/>
      <c r="D36" s="153"/>
      <c r="E36" s="154"/>
      <c r="F36" s="65"/>
      <c r="G36" s="68"/>
      <c r="H36" s="68"/>
      <c r="I36" s="69">
        <f>SUM(I35:I35)</f>
        <v>0</v>
      </c>
      <c r="J36" s="29"/>
    </row>
    <row r="37" spans="1:9" ht="12.75">
      <c r="A37" s="42"/>
      <c r="B37" s="42"/>
      <c r="C37" s="42"/>
      <c r="D37" s="42"/>
      <c r="E37" s="42"/>
      <c r="F37" s="42"/>
      <c r="G37" s="42"/>
      <c r="H37" s="42"/>
      <c r="I37" s="42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Mgr. Lukáš Záveský</cp:lastModifiedBy>
  <cp:lastPrinted>2019-09-03T19:13:36Z</cp:lastPrinted>
  <dcterms:created xsi:type="dcterms:W3CDTF">2019-09-03T06:44:01Z</dcterms:created>
  <dcterms:modified xsi:type="dcterms:W3CDTF">2019-09-23T06:49:10Z</dcterms:modified>
  <cp:category/>
  <cp:version/>
  <cp:contentType/>
  <cp:contentStatus/>
</cp:coreProperties>
</file>